
<file path=[Content_Types].xml><?xml version="1.0" encoding="utf-8"?>
<Types xmlns="http://schemas.openxmlformats.org/package/2006/content-type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https://nspvsnps-my.sharepoint.com/personal/jf_nspv_be/Documents/ATo/"/>
    </mc:Choice>
  </mc:AlternateContent>
  <xr:revisionPtr revIDLastSave="0" documentId="8_{2C712BF2-57AE-497E-8CCB-4D46F2A7060F}" xr6:coauthVersionLast="47" xr6:coauthVersionMax="47" xr10:uidLastSave="{00000000-0000-0000-0000-000000000000}"/>
  <workbookProtection workbookPassword="EC91" lockStructure="1"/>
  <bookViews>
    <workbookView xWindow="-120" yWindow="-120" windowWidth="38640" windowHeight="15840" tabRatio="879" activeTab="1" xr2:uid="{00000000-000D-0000-FFFF-FFFF00000000}"/>
  </bookViews>
  <sheets>
    <sheet name="Instructions" sheetId="16" r:id="rId1"/>
    <sheet name="Configuration" sheetId="1" r:id="rId2"/>
    <sheet name="Types de jours" sheetId="5" r:id="rId3"/>
    <sheet name="Jan" sheetId="6" r:id="rId4"/>
    <sheet name="Fev" sheetId="17" r:id="rId5"/>
    <sheet name="Mar" sheetId="18" r:id="rId6"/>
    <sheet name="Avr" sheetId="19" r:id="rId7"/>
    <sheet name="Mai" sheetId="20" r:id="rId8"/>
    <sheet name="Jun" sheetId="21" r:id="rId9"/>
    <sheet name="Jul" sheetId="22" r:id="rId10"/>
    <sheet name="Aou" sheetId="23" r:id="rId11"/>
    <sheet name="Sep" sheetId="24" r:id="rId12"/>
    <sheet name="Oct" sheetId="25" r:id="rId13"/>
    <sheet name="Nov" sheetId="26" r:id="rId14"/>
    <sheet name="Dec" sheetId="27" r:id="rId15"/>
    <sheet name="Barèmes police" sheetId="2" r:id="rId16"/>
    <sheet name="Barèmes CALOG" sheetId="28" r:id="rId17"/>
    <sheet name="Barèmes Ex-Gd" sheetId="15" r:id="rId18"/>
    <sheet name="Systeemgegevens" sheetId="3" state="hidden"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131" i="6" l="1"/>
  <c r="AW130" i="6"/>
  <c r="AW129" i="6"/>
  <c r="AW128" i="6"/>
  <c r="AW127" i="6"/>
  <c r="AW126" i="6"/>
  <c r="AW125" i="6"/>
  <c r="AW124" i="6"/>
  <c r="AW123" i="6"/>
  <c r="AW122" i="6"/>
  <c r="AW121" i="6"/>
  <c r="AW120" i="6"/>
  <c r="AW119" i="6"/>
  <c r="AW118" i="6"/>
  <c r="AW117" i="6"/>
  <c r="AW116" i="6"/>
  <c r="AW115" i="6"/>
  <c r="AW114" i="6"/>
  <c r="AW113" i="6"/>
  <c r="AW112" i="6"/>
  <c r="AW111" i="6"/>
  <c r="AW110" i="6"/>
  <c r="AW109" i="6"/>
  <c r="AW108" i="6"/>
  <c r="AW107" i="6"/>
  <c r="AW106" i="6"/>
  <c r="AW105" i="6"/>
  <c r="AW104" i="6"/>
  <c r="AW103" i="6"/>
  <c r="AW102" i="6"/>
  <c r="AW101" i="6"/>
  <c r="AW100" i="6"/>
  <c r="AW99" i="6"/>
  <c r="AW98" i="6"/>
  <c r="AW97" i="6"/>
  <c r="AW96" i="6"/>
  <c r="AW95" i="6"/>
  <c r="AW94" i="6"/>
  <c r="AW93" i="6"/>
  <c r="AW92" i="6"/>
  <c r="AW91" i="6"/>
  <c r="AW90" i="6"/>
  <c r="AW89" i="6"/>
  <c r="AW88" i="6"/>
  <c r="AW87" i="6"/>
  <c r="AW86" i="6"/>
  <c r="AW85" i="6"/>
  <c r="AW84" i="6"/>
  <c r="AW83" i="6"/>
  <c r="AW82" i="6"/>
  <c r="AW81" i="6"/>
  <c r="AW80" i="6"/>
  <c r="AW79" i="6"/>
  <c r="AW78" i="6"/>
  <c r="AW77" i="6"/>
  <c r="AW76" i="6"/>
  <c r="AW75" i="6"/>
  <c r="AW74" i="6"/>
  <c r="AW73" i="6"/>
  <c r="AW72" i="6"/>
  <c r="AW71" i="6"/>
  <c r="AW70" i="6"/>
  <c r="AW131" i="17"/>
  <c r="AW130" i="17"/>
  <c r="AW129" i="17"/>
  <c r="AW128" i="17"/>
  <c r="AW127" i="17"/>
  <c r="AW126" i="17"/>
  <c r="AW125" i="17"/>
  <c r="AW124" i="17"/>
  <c r="AW123" i="17"/>
  <c r="AW122" i="17"/>
  <c r="AW121" i="17"/>
  <c r="AW120" i="17"/>
  <c r="AW119" i="17"/>
  <c r="AW118" i="17"/>
  <c r="AW117" i="17"/>
  <c r="AW116" i="17"/>
  <c r="AW115" i="17"/>
  <c r="AW114" i="17"/>
  <c r="AW113" i="17"/>
  <c r="AW112" i="17"/>
  <c r="AW111" i="17"/>
  <c r="AW110" i="17"/>
  <c r="AW109" i="17"/>
  <c r="AW108" i="17"/>
  <c r="AW107" i="17"/>
  <c r="AW106" i="17"/>
  <c r="AW105" i="17"/>
  <c r="AW104" i="17"/>
  <c r="AW103" i="17"/>
  <c r="AW102" i="17"/>
  <c r="AW101" i="17"/>
  <c r="AW100" i="17"/>
  <c r="AW99" i="17"/>
  <c r="AW98" i="17"/>
  <c r="AW97" i="17"/>
  <c r="AW96" i="17"/>
  <c r="AW95" i="17"/>
  <c r="AW94" i="17"/>
  <c r="AW93" i="17"/>
  <c r="AW92" i="17"/>
  <c r="AW91" i="17"/>
  <c r="AW90" i="17"/>
  <c r="AW89" i="17"/>
  <c r="AW88" i="17"/>
  <c r="AW87" i="17"/>
  <c r="AW86" i="17"/>
  <c r="AW85" i="17"/>
  <c r="AW84" i="17"/>
  <c r="AW83" i="17"/>
  <c r="AW82" i="17"/>
  <c r="AW81" i="17"/>
  <c r="AW80" i="17"/>
  <c r="AW79" i="17"/>
  <c r="AW78" i="17"/>
  <c r="AW77" i="17"/>
  <c r="AW76" i="17"/>
  <c r="AW75" i="17"/>
  <c r="AW74" i="17"/>
  <c r="AW73" i="17"/>
  <c r="AW72" i="17"/>
  <c r="AW71" i="17"/>
  <c r="AW70" i="17"/>
  <c r="AW131" i="18"/>
  <c r="AW130" i="18"/>
  <c r="AW129" i="18"/>
  <c r="AW128" i="18"/>
  <c r="AW127" i="18"/>
  <c r="AW126" i="18"/>
  <c r="AW125" i="18"/>
  <c r="AW124" i="18"/>
  <c r="AW123" i="18"/>
  <c r="AW122" i="18"/>
  <c r="AW121" i="18"/>
  <c r="AW120" i="18"/>
  <c r="AW119" i="18"/>
  <c r="AW118" i="18"/>
  <c r="AW117" i="18"/>
  <c r="AW116" i="18"/>
  <c r="AW115" i="18"/>
  <c r="AW114" i="18"/>
  <c r="AW113" i="18"/>
  <c r="AW112" i="18"/>
  <c r="AW111" i="18"/>
  <c r="AW110" i="18"/>
  <c r="AW109" i="18"/>
  <c r="AW108" i="18"/>
  <c r="AW107" i="18"/>
  <c r="AW106" i="18"/>
  <c r="AW105" i="18"/>
  <c r="AW104" i="18"/>
  <c r="AW103" i="18"/>
  <c r="AW102" i="18"/>
  <c r="AW101" i="18"/>
  <c r="AW100" i="18"/>
  <c r="AW99" i="18"/>
  <c r="AW98" i="18"/>
  <c r="AW97" i="18"/>
  <c r="AW96" i="18"/>
  <c r="AW95" i="18"/>
  <c r="AW94" i="18"/>
  <c r="AW93" i="18"/>
  <c r="AW92" i="18"/>
  <c r="AW91" i="18"/>
  <c r="AW90" i="18"/>
  <c r="AW89" i="18"/>
  <c r="AW88" i="18"/>
  <c r="AW87" i="18"/>
  <c r="AW86" i="18"/>
  <c r="AW85" i="18"/>
  <c r="AW84" i="18"/>
  <c r="AW83" i="18"/>
  <c r="AW82" i="18"/>
  <c r="AW81" i="18"/>
  <c r="AW80" i="18"/>
  <c r="AW79" i="18"/>
  <c r="AW78" i="18"/>
  <c r="AW77" i="18"/>
  <c r="AW76" i="18"/>
  <c r="AW75" i="18"/>
  <c r="AW74" i="18"/>
  <c r="AW73" i="18"/>
  <c r="AW72" i="18"/>
  <c r="T42" i="18" s="1"/>
  <c r="AW71" i="18"/>
  <c r="AW70" i="18"/>
  <c r="AW131" i="19"/>
  <c r="AW130" i="19"/>
  <c r="AW129" i="19"/>
  <c r="AW128" i="19"/>
  <c r="AW127" i="19"/>
  <c r="AW126" i="19"/>
  <c r="AW125" i="19"/>
  <c r="AW124" i="19"/>
  <c r="AW123" i="19"/>
  <c r="AW122" i="19"/>
  <c r="AW121" i="19"/>
  <c r="AW120" i="19"/>
  <c r="AW119" i="19"/>
  <c r="AW118" i="19"/>
  <c r="AW117" i="19"/>
  <c r="AW116" i="19"/>
  <c r="AW115" i="19"/>
  <c r="AW114" i="19"/>
  <c r="AW113" i="19"/>
  <c r="AW112" i="19"/>
  <c r="AW111" i="19"/>
  <c r="AW110" i="19"/>
  <c r="AW109" i="19"/>
  <c r="AW108" i="19"/>
  <c r="AW107" i="19"/>
  <c r="AW106" i="19"/>
  <c r="AW105" i="19"/>
  <c r="AW104" i="19"/>
  <c r="AW103" i="19"/>
  <c r="AW102" i="19"/>
  <c r="AW101" i="19"/>
  <c r="AW100" i="19"/>
  <c r="AW99" i="19"/>
  <c r="AW98" i="19"/>
  <c r="AW97" i="19"/>
  <c r="AW96" i="19"/>
  <c r="AW95" i="19"/>
  <c r="AW94" i="19"/>
  <c r="AW93" i="19"/>
  <c r="AW92" i="19"/>
  <c r="AW91" i="19"/>
  <c r="AW90" i="19"/>
  <c r="AW89" i="19"/>
  <c r="AW88" i="19"/>
  <c r="AW87" i="19"/>
  <c r="AW86" i="19"/>
  <c r="AW85" i="19"/>
  <c r="AW84" i="19"/>
  <c r="AW83" i="19"/>
  <c r="AW82" i="19"/>
  <c r="AW81" i="19"/>
  <c r="AW80" i="19"/>
  <c r="AW79" i="19"/>
  <c r="AW78" i="19"/>
  <c r="AW77" i="19"/>
  <c r="AW76" i="19"/>
  <c r="AW75" i="19"/>
  <c r="AW74" i="19"/>
  <c r="AW73" i="19"/>
  <c r="AW72" i="19"/>
  <c r="AW71" i="19"/>
  <c r="AW70" i="19"/>
  <c r="AW131" i="20"/>
  <c r="AW130" i="20"/>
  <c r="AW129" i="20"/>
  <c r="AW128" i="20"/>
  <c r="AW127" i="20"/>
  <c r="AW126" i="20"/>
  <c r="AW125" i="20"/>
  <c r="AW124" i="20"/>
  <c r="AW123" i="20"/>
  <c r="AW122" i="20"/>
  <c r="AW121" i="20"/>
  <c r="AW120" i="20"/>
  <c r="AW119" i="20"/>
  <c r="AW118" i="20"/>
  <c r="AW117" i="20"/>
  <c r="AW116" i="20"/>
  <c r="AW115" i="20"/>
  <c r="AW114" i="20"/>
  <c r="AW113" i="20"/>
  <c r="AW112" i="20"/>
  <c r="AW111" i="20"/>
  <c r="AW110" i="20"/>
  <c r="AW109" i="20"/>
  <c r="AW108" i="20"/>
  <c r="AW107" i="20"/>
  <c r="AW106" i="20"/>
  <c r="AW105" i="20"/>
  <c r="AW104" i="20"/>
  <c r="AW103" i="20"/>
  <c r="AW102" i="20"/>
  <c r="AW101" i="20"/>
  <c r="AW100" i="20"/>
  <c r="AW99" i="20"/>
  <c r="AW98" i="20"/>
  <c r="AW97" i="20"/>
  <c r="AW96" i="20"/>
  <c r="AW95" i="20"/>
  <c r="AW94" i="20"/>
  <c r="AW93" i="20"/>
  <c r="AW92" i="20"/>
  <c r="AW91" i="20"/>
  <c r="AW90" i="20"/>
  <c r="AW89" i="20"/>
  <c r="AW88" i="20"/>
  <c r="AW87" i="20"/>
  <c r="AW86" i="20"/>
  <c r="AW85" i="20"/>
  <c r="AW84" i="20"/>
  <c r="AW83" i="20"/>
  <c r="AW82" i="20"/>
  <c r="AW81" i="20"/>
  <c r="AW80" i="20"/>
  <c r="AW79" i="20"/>
  <c r="AW78" i="20"/>
  <c r="AW77" i="20"/>
  <c r="AW76" i="20"/>
  <c r="AW75" i="20"/>
  <c r="AW74" i="20"/>
  <c r="AW73" i="20"/>
  <c r="AW72" i="20"/>
  <c r="AW71" i="20"/>
  <c r="AW70" i="20"/>
  <c r="AW131" i="21"/>
  <c r="AW130" i="21"/>
  <c r="AW129" i="21"/>
  <c r="AW128" i="21"/>
  <c r="AW127" i="21"/>
  <c r="AW126" i="21"/>
  <c r="AW125" i="21"/>
  <c r="AW124" i="21"/>
  <c r="AW123" i="21"/>
  <c r="AW122" i="21"/>
  <c r="AW121" i="21"/>
  <c r="AW120" i="21"/>
  <c r="AW119" i="21"/>
  <c r="AW118" i="21"/>
  <c r="AW117" i="21"/>
  <c r="AW116" i="21"/>
  <c r="AW115" i="21"/>
  <c r="AW114" i="21"/>
  <c r="AW113" i="21"/>
  <c r="AW112" i="21"/>
  <c r="AW111" i="21"/>
  <c r="AW110" i="21"/>
  <c r="AW109" i="21"/>
  <c r="AW108" i="21"/>
  <c r="AW107" i="21"/>
  <c r="AW106" i="21"/>
  <c r="AW105" i="21"/>
  <c r="AW104" i="21"/>
  <c r="AW103" i="21"/>
  <c r="AW102" i="21"/>
  <c r="AW101" i="21"/>
  <c r="AW100" i="21"/>
  <c r="AW99" i="21"/>
  <c r="AW98" i="21"/>
  <c r="AW97" i="21"/>
  <c r="AW96" i="21"/>
  <c r="AW95" i="21"/>
  <c r="AW94" i="21"/>
  <c r="AW93" i="21"/>
  <c r="AW92" i="21"/>
  <c r="AW91" i="21"/>
  <c r="AW90" i="21"/>
  <c r="AW89" i="21"/>
  <c r="AW88" i="21"/>
  <c r="AW87" i="21"/>
  <c r="AW86" i="21"/>
  <c r="AW85" i="21"/>
  <c r="AW84" i="21"/>
  <c r="AW83" i="21"/>
  <c r="AW82" i="21"/>
  <c r="AW81" i="21"/>
  <c r="AW80" i="21"/>
  <c r="AW79" i="21"/>
  <c r="AW78" i="21"/>
  <c r="AW77" i="21"/>
  <c r="AW76" i="21"/>
  <c r="AW75" i="21"/>
  <c r="AW74" i="21"/>
  <c r="AW73" i="21"/>
  <c r="AW72" i="21"/>
  <c r="AW71" i="21"/>
  <c r="AW70" i="21"/>
  <c r="T41" i="21" s="1"/>
  <c r="AW131" i="22"/>
  <c r="AW130" i="22"/>
  <c r="AW129" i="22"/>
  <c r="AW128" i="22"/>
  <c r="AW127" i="22"/>
  <c r="AW126" i="22"/>
  <c r="AW125" i="22"/>
  <c r="AW124" i="22"/>
  <c r="AW123" i="22"/>
  <c r="AW122" i="22"/>
  <c r="AW121" i="22"/>
  <c r="AW120" i="22"/>
  <c r="AW119" i="22"/>
  <c r="AW118" i="22"/>
  <c r="AW117" i="22"/>
  <c r="AW116" i="22"/>
  <c r="AW115" i="22"/>
  <c r="AW114" i="22"/>
  <c r="AW113" i="22"/>
  <c r="AW112" i="22"/>
  <c r="AW111" i="22"/>
  <c r="AW110" i="22"/>
  <c r="AW109" i="22"/>
  <c r="AW108" i="22"/>
  <c r="AW107" i="22"/>
  <c r="AW106" i="22"/>
  <c r="AW105" i="22"/>
  <c r="AW104" i="22"/>
  <c r="AW103" i="22"/>
  <c r="AW102" i="22"/>
  <c r="AW101" i="22"/>
  <c r="AW100" i="22"/>
  <c r="AW99" i="22"/>
  <c r="AW98" i="22"/>
  <c r="AW97" i="22"/>
  <c r="AW96" i="22"/>
  <c r="AW95" i="22"/>
  <c r="AW94" i="22"/>
  <c r="AW93" i="22"/>
  <c r="AW92" i="22"/>
  <c r="AW91" i="22"/>
  <c r="AW90" i="22"/>
  <c r="AW89" i="22"/>
  <c r="AW88" i="22"/>
  <c r="AW87" i="22"/>
  <c r="AW86" i="22"/>
  <c r="AW85" i="22"/>
  <c r="AW84" i="22"/>
  <c r="AW83" i="22"/>
  <c r="AW82" i="22"/>
  <c r="AW81" i="22"/>
  <c r="AW80" i="22"/>
  <c r="AW79" i="22"/>
  <c r="AW78" i="22"/>
  <c r="AW77" i="22"/>
  <c r="AW76" i="22"/>
  <c r="AW75" i="22"/>
  <c r="AW74" i="22"/>
  <c r="AW73" i="22"/>
  <c r="AW72" i="22"/>
  <c r="T42" i="22" s="1"/>
  <c r="AE43" i="22" s="1"/>
  <c r="AW71" i="22"/>
  <c r="AW70" i="22"/>
  <c r="AW131" i="23"/>
  <c r="AW130" i="23"/>
  <c r="AW129" i="23"/>
  <c r="AW128" i="23"/>
  <c r="AW127" i="23"/>
  <c r="AW126" i="23"/>
  <c r="AW125" i="23"/>
  <c r="AW124" i="23"/>
  <c r="AW123" i="23"/>
  <c r="AW122" i="23"/>
  <c r="AW121" i="23"/>
  <c r="AW120" i="23"/>
  <c r="AW119" i="23"/>
  <c r="AW118" i="23"/>
  <c r="AW117" i="23"/>
  <c r="AW116" i="23"/>
  <c r="AW115" i="23"/>
  <c r="AW114" i="23"/>
  <c r="AW113" i="23"/>
  <c r="AW112" i="23"/>
  <c r="AW111" i="23"/>
  <c r="AW110" i="23"/>
  <c r="AW109" i="23"/>
  <c r="AW108" i="23"/>
  <c r="AW107" i="23"/>
  <c r="AW106" i="23"/>
  <c r="AW105" i="23"/>
  <c r="AW104" i="23"/>
  <c r="AW103" i="23"/>
  <c r="AW102" i="23"/>
  <c r="AW101" i="23"/>
  <c r="AW100" i="23"/>
  <c r="AW99" i="23"/>
  <c r="AW98" i="23"/>
  <c r="AW97" i="23"/>
  <c r="AW96" i="23"/>
  <c r="AW95" i="23"/>
  <c r="AW94" i="23"/>
  <c r="AW93" i="23"/>
  <c r="AW92" i="23"/>
  <c r="AW91" i="23"/>
  <c r="AW90" i="23"/>
  <c r="AW89" i="23"/>
  <c r="AW88" i="23"/>
  <c r="AW87" i="23"/>
  <c r="AW86" i="23"/>
  <c r="AW85" i="23"/>
  <c r="AW84" i="23"/>
  <c r="AW83" i="23"/>
  <c r="AW82" i="23"/>
  <c r="AW81" i="23"/>
  <c r="AW80" i="23"/>
  <c r="AW79" i="23"/>
  <c r="AW78" i="23"/>
  <c r="AW77" i="23"/>
  <c r="AW76" i="23"/>
  <c r="AW75" i="23"/>
  <c r="AW74" i="23"/>
  <c r="AW73" i="23"/>
  <c r="AW72" i="23"/>
  <c r="AW71" i="23"/>
  <c r="AW70" i="23"/>
  <c r="T42" i="23" s="1"/>
  <c r="AW131" i="24"/>
  <c r="AW130" i="24"/>
  <c r="AW129" i="24"/>
  <c r="AW128" i="24"/>
  <c r="AW127" i="24"/>
  <c r="AW126" i="24"/>
  <c r="AW125" i="24"/>
  <c r="AW124" i="24"/>
  <c r="AW123" i="24"/>
  <c r="AW122" i="24"/>
  <c r="AW121" i="24"/>
  <c r="AW120" i="24"/>
  <c r="AW119" i="24"/>
  <c r="AW118" i="24"/>
  <c r="AW117" i="24"/>
  <c r="AW116" i="24"/>
  <c r="AW115" i="24"/>
  <c r="AW114" i="24"/>
  <c r="AW113" i="24"/>
  <c r="AW112" i="24"/>
  <c r="AW111" i="24"/>
  <c r="AW110" i="24"/>
  <c r="AW109" i="24"/>
  <c r="AW108" i="24"/>
  <c r="AW107" i="24"/>
  <c r="AW106" i="24"/>
  <c r="AW105" i="24"/>
  <c r="AW104" i="24"/>
  <c r="AW103" i="24"/>
  <c r="AW102" i="24"/>
  <c r="AW101" i="24"/>
  <c r="AW100" i="24"/>
  <c r="AW99" i="24"/>
  <c r="AW98" i="24"/>
  <c r="AW97" i="24"/>
  <c r="AW96" i="24"/>
  <c r="AW95" i="24"/>
  <c r="AW94" i="24"/>
  <c r="AW93" i="24"/>
  <c r="AW92" i="24"/>
  <c r="AW91" i="24"/>
  <c r="AW90" i="24"/>
  <c r="AW89" i="24"/>
  <c r="AW88" i="24"/>
  <c r="AW87" i="24"/>
  <c r="AW86" i="24"/>
  <c r="AW85" i="24"/>
  <c r="AW84" i="24"/>
  <c r="AW83" i="24"/>
  <c r="AW82" i="24"/>
  <c r="AW81" i="24"/>
  <c r="AW80" i="24"/>
  <c r="AW79" i="24"/>
  <c r="AW78" i="24"/>
  <c r="AW77" i="24"/>
  <c r="AW76" i="24"/>
  <c r="AW75" i="24"/>
  <c r="AW74" i="24"/>
  <c r="AW73" i="24"/>
  <c r="AW72" i="24"/>
  <c r="T41" i="24" s="1"/>
  <c r="AW71" i="24"/>
  <c r="AW70" i="24"/>
  <c r="AW131" i="25"/>
  <c r="AW130" i="25"/>
  <c r="AW129" i="25"/>
  <c r="AW128" i="25"/>
  <c r="AW127" i="25"/>
  <c r="AW126" i="25"/>
  <c r="AW125" i="25"/>
  <c r="AW124" i="25"/>
  <c r="AW123" i="25"/>
  <c r="AW122" i="25"/>
  <c r="AW121" i="25"/>
  <c r="AW120" i="25"/>
  <c r="AW119" i="25"/>
  <c r="AW118" i="25"/>
  <c r="AW117" i="25"/>
  <c r="AW116" i="25"/>
  <c r="AW115" i="25"/>
  <c r="AW114" i="25"/>
  <c r="AW113" i="25"/>
  <c r="AW112" i="25"/>
  <c r="AW111" i="25"/>
  <c r="AW110" i="25"/>
  <c r="AW109" i="25"/>
  <c r="AW108" i="25"/>
  <c r="AW107" i="25"/>
  <c r="AW106" i="25"/>
  <c r="AW105" i="25"/>
  <c r="AW104" i="25"/>
  <c r="AW103" i="25"/>
  <c r="AW102" i="25"/>
  <c r="AW101" i="25"/>
  <c r="AW100" i="25"/>
  <c r="AW99" i="25"/>
  <c r="AW98" i="25"/>
  <c r="AW97" i="25"/>
  <c r="AW96" i="25"/>
  <c r="AW95" i="25"/>
  <c r="AW94" i="25"/>
  <c r="AW93" i="25"/>
  <c r="AW92" i="25"/>
  <c r="AW91" i="25"/>
  <c r="AW90" i="25"/>
  <c r="AW89" i="25"/>
  <c r="AW88" i="25"/>
  <c r="AW87" i="25"/>
  <c r="AW86" i="25"/>
  <c r="AW85" i="25"/>
  <c r="AW84" i="25"/>
  <c r="AW83" i="25"/>
  <c r="AW82" i="25"/>
  <c r="AW81" i="25"/>
  <c r="AW80" i="25"/>
  <c r="AW79" i="25"/>
  <c r="AW78" i="25"/>
  <c r="AW77" i="25"/>
  <c r="AW76" i="25"/>
  <c r="AW75" i="25"/>
  <c r="AW74" i="25"/>
  <c r="AW73" i="25"/>
  <c r="AW72" i="25"/>
  <c r="AW71" i="25"/>
  <c r="AW70" i="25"/>
  <c r="T42" i="25" s="1"/>
  <c r="AW131" i="26"/>
  <c r="AW130" i="26"/>
  <c r="AW129" i="26"/>
  <c r="AW128" i="26"/>
  <c r="AW127" i="26"/>
  <c r="AW126" i="26"/>
  <c r="AW125" i="26"/>
  <c r="AW124" i="26"/>
  <c r="AW123" i="26"/>
  <c r="AW122" i="26"/>
  <c r="AW121" i="26"/>
  <c r="AW120" i="26"/>
  <c r="AW119" i="26"/>
  <c r="AW118" i="26"/>
  <c r="AW117" i="26"/>
  <c r="AW116" i="26"/>
  <c r="AW115" i="26"/>
  <c r="AW114" i="26"/>
  <c r="AW113" i="26"/>
  <c r="AW112" i="26"/>
  <c r="AW111" i="26"/>
  <c r="AW110" i="26"/>
  <c r="AW109" i="26"/>
  <c r="AW108" i="26"/>
  <c r="AW107" i="26"/>
  <c r="AW106" i="26"/>
  <c r="AW105" i="26"/>
  <c r="AW104" i="26"/>
  <c r="AW103" i="26"/>
  <c r="AW102" i="26"/>
  <c r="AW101" i="26"/>
  <c r="AW100" i="26"/>
  <c r="AW99" i="26"/>
  <c r="AW98" i="26"/>
  <c r="AW97" i="26"/>
  <c r="AW96" i="26"/>
  <c r="AW95" i="26"/>
  <c r="AW94" i="26"/>
  <c r="AW93" i="26"/>
  <c r="AW92" i="26"/>
  <c r="AW91" i="26"/>
  <c r="AW90" i="26"/>
  <c r="AW89" i="26"/>
  <c r="AW88" i="26"/>
  <c r="AW87" i="26"/>
  <c r="AW86" i="26"/>
  <c r="AW85" i="26"/>
  <c r="AW84" i="26"/>
  <c r="AW83" i="26"/>
  <c r="AW82" i="26"/>
  <c r="AW81" i="26"/>
  <c r="AW80" i="26"/>
  <c r="AW79" i="26"/>
  <c r="AW78" i="26"/>
  <c r="AW77" i="26"/>
  <c r="AW76" i="26"/>
  <c r="AW75" i="26"/>
  <c r="AW74" i="26"/>
  <c r="AW73" i="26"/>
  <c r="AW72" i="26"/>
  <c r="T41" i="26" s="1"/>
  <c r="AW71" i="26"/>
  <c r="AW70" i="26"/>
  <c r="AW131" i="27"/>
  <c r="AW130" i="27"/>
  <c r="AW129" i="27"/>
  <c r="AW128" i="27"/>
  <c r="AW127" i="27"/>
  <c r="AW126" i="27"/>
  <c r="AW125" i="27"/>
  <c r="AW124" i="27"/>
  <c r="AW123" i="27"/>
  <c r="AW122" i="27"/>
  <c r="AW121" i="27"/>
  <c r="AW120" i="27"/>
  <c r="AW119" i="27"/>
  <c r="AW118" i="27"/>
  <c r="AW117" i="27"/>
  <c r="AW116" i="27"/>
  <c r="AW115" i="27"/>
  <c r="AW114" i="27"/>
  <c r="AW113" i="27"/>
  <c r="AW112" i="27"/>
  <c r="AW111" i="27"/>
  <c r="AW110" i="27"/>
  <c r="AW109" i="27"/>
  <c r="AW108" i="27"/>
  <c r="AW107" i="27"/>
  <c r="AW106" i="27"/>
  <c r="AW105" i="27"/>
  <c r="AW104" i="27"/>
  <c r="AW103" i="27"/>
  <c r="AW102" i="27"/>
  <c r="AW101" i="27"/>
  <c r="AW100" i="27"/>
  <c r="AW99" i="27"/>
  <c r="AW98" i="27"/>
  <c r="AW97" i="27"/>
  <c r="AW96" i="27"/>
  <c r="AW95" i="27"/>
  <c r="AW94" i="27"/>
  <c r="AW93" i="27"/>
  <c r="AW92" i="27"/>
  <c r="AW91" i="27"/>
  <c r="AW90" i="27"/>
  <c r="AW89" i="27"/>
  <c r="AW88" i="27"/>
  <c r="AW87" i="27"/>
  <c r="AW86" i="27"/>
  <c r="AW85" i="27"/>
  <c r="AW84" i="27"/>
  <c r="AW83" i="27"/>
  <c r="AW82" i="27"/>
  <c r="AW81" i="27"/>
  <c r="AW80" i="27"/>
  <c r="AW79" i="27"/>
  <c r="AW78" i="27"/>
  <c r="AW77" i="27"/>
  <c r="AW76" i="27"/>
  <c r="AW75" i="27"/>
  <c r="AW74" i="27"/>
  <c r="AW73" i="27"/>
  <c r="AW72" i="27"/>
  <c r="AW71" i="27"/>
  <c r="AW70" i="27"/>
  <c r="T42" i="27" s="1"/>
  <c r="CF70" i="28"/>
  <c r="CD70" i="28"/>
  <c r="CC70" i="28"/>
  <c r="CA70" i="28"/>
  <c r="BZ70" i="28"/>
  <c r="BX70" i="28"/>
  <c r="BW70" i="28"/>
  <c r="BU70" i="28"/>
  <c r="BT70" i="28"/>
  <c r="BR70" i="28"/>
  <c r="BQ70" i="28"/>
  <c r="BO70" i="28"/>
  <c r="BN70" i="28"/>
  <c r="BL70" i="28"/>
  <c r="BK70" i="28"/>
  <c r="BI70" i="28"/>
  <c r="BH70" i="28"/>
  <c r="BF70" i="28"/>
  <c r="BE70" i="28"/>
  <c r="BC70" i="28"/>
  <c r="BB70" i="28"/>
  <c r="AZ70" i="28"/>
  <c r="AY70" i="28"/>
  <c r="AW70" i="28"/>
  <c r="AV70" i="28"/>
  <c r="AT70" i="28"/>
  <c r="AS70" i="28"/>
  <c r="AQ70" i="28"/>
  <c r="AP70" i="28"/>
  <c r="AN70" i="28"/>
  <c r="AM70" i="28"/>
  <c r="AK70" i="28"/>
  <c r="AJ70" i="28"/>
  <c r="AH70" i="28"/>
  <c r="AG70" i="28"/>
  <c r="AE70" i="28"/>
  <c r="AD70" i="28"/>
  <c r="AB70" i="28"/>
  <c r="AA70" i="28"/>
  <c r="Y70" i="28"/>
  <c r="X70" i="28"/>
  <c r="V70" i="28"/>
  <c r="U70" i="28"/>
  <c r="S70" i="28"/>
  <c r="R70" i="28"/>
  <c r="P70" i="28"/>
  <c r="O70" i="28"/>
  <c r="M70" i="28"/>
  <c r="L70" i="28"/>
  <c r="J70" i="28"/>
  <c r="I70" i="28"/>
  <c r="G70" i="28"/>
  <c r="F70" i="28"/>
  <c r="D70" i="28"/>
  <c r="C70" i="28"/>
  <c r="A70" i="28"/>
  <c r="CD69" i="28"/>
  <c r="CA69" i="28"/>
  <c r="BX69" i="28"/>
  <c r="BU69" i="28"/>
  <c r="BR69" i="28"/>
  <c r="BO69" i="28"/>
  <c r="BL69" i="28"/>
  <c r="BI69" i="28"/>
  <c r="BF69" i="28"/>
  <c r="BC69" i="28"/>
  <c r="AZ69" i="28"/>
  <c r="AW69" i="28"/>
  <c r="AT69" i="28"/>
  <c r="AQ69" i="28"/>
  <c r="AN69" i="28"/>
  <c r="AK69" i="28"/>
  <c r="AH69" i="28"/>
  <c r="AE69" i="28"/>
  <c r="AB69" i="28"/>
  <c r="Y69" i="28"/>
  <c r="V69" i="28"/>
  <c r="S69" i="28"/>
  <c r="P69" i="28"/>
  <c r="M69" i="28"/>
  <c r="J69" i="28"/>
  <c r="G69" i="28"/>
  <c r="D69" i="28"/>
  <c r="A69" i="28"/>
  <c r="CD68" i="28"/>
  <c r="CA68" i="28"/>
  <c r="BX68" i="28"/>
  <c r="BU68" i="28"/>
  <c r="BR68" i="28"/>
  <c r="BO68" i="28"/>
  <c r="BL68" i="28"/>
  <c r="BI68" i="28"/>
  <c r="BF68" i="28"/>
  <c r="BC68" i="28"/>
  <c r="AZ68" i="28"/>
  <c r="AW68" i="28"/>
  <c r="AT68" i="28"/>
  <c r="AQ68" i="28"/>
  <c r="AN68" i="28"/>
  <c r="AK68" i="28"/>
  <c r="AH68" i="28"/>
  <c r="AE68" i="28"/>
  <c r="AB68" i="28"/>
  <c r="Y68" i="28"/>
  <c r="V68" i="28"/>
  <c r="S68" i="28"/>
  <c r="P68" i="28"/>
  <c r="M68" i="28"/>
  <c r="J68" i="28"/>
  <c r="G68" i="28"/>
  <c r="D68" i="28"/>
  <c r="A68" i="28"/>
  <c r="CD67" i="28"/>
  <c r="CA67" i="28"/>
  <c r="BX67" i="28"/>
  <c r="BU67" i="28"/>
  <c r="BR67" i="28"/>
  <c r="BO67" i="28"/>
  <c r="BL67" i="28"/>
  <c r="BI67" i="28"/>
  <c r="BF67" i="28"/>
  <c r="BC67" i="28"/>
  <c r="AZ67" i="28"/>
  <c r="AW67" i="28"/>
  <c r="AT67" i="28"/>
  <c r="AQ67" i="28"/>
  <c r="AN67" i="28"/>
  <c r="AK67" i="28"/>
  <c r="AH67" i="28"/>
  <c r="AE67" i="28"/>
  <c r="AB67" i="28"/>
  <c r="Y67" i="28"/>
  <c r="V67" i="28"/>
  <c r="S67" i="28"/>
  <c r="P67" i="28"/>
  <c r="M67" i="28"/>
  <c r="J67" i="28"/>
  <c r="G67" i="28"/>
  <c r="D67" i="28"/>
  <c r="A67" i="28"/>
  <c r="CD66" i="28"/>
  <c r="CA66" i="28"/>
  <c r="BX66" i="28"/>
  <c r="BU66" i="28"/>
  <c r="BR66" i="28"/>
  <c r="BO66" i="28"/>
  <c r="BL66" i="28"/>
  <c r="BI66" i="28"/>
  <c r="BF66" i="28"/>
  <c r="BC66" i="28"/>
  <c r="AZ66" i="28"/>
  <c r="AW66" i="28"/>
  <c r="AT66" i="28"/>
  <c r="AQ66" i="28"/>
  <c r="AN66" i="28"/>
  <c r="AK66" i="28"/>
  <c r="AH66" i="28"/>
  <c r="AE66" i="28"/>
  <c r="AB66" i="28"/>
  <c r="Y66" i="28"/>
  <c r="V66" i="28"/>
  <c r="S66" i="28"/>
  <c r="P66" i="28"/>
  <c r="M66" i="28"/>
  <c r="J66" i="28"/>
  <c r="G66" i="28"/>
  <c r="D66" i="28"/>
  <c r="A66" i="28"/>
  <c r="CD65" i="28"/>
  <c r="CA65" i="28"/>
  <c r="BX65" i="28"/>
  <c r="BU65" i="28"/>
  <c r="BR65" i="28"/>
  <c r="BO65" i="28"/>
  <c r="BL65" i="28"/>
  <c r="BI65" i="28"/>
  <c r="BF65" i="28"/>
  <c r="BC65" i="28"/>
  <c r="AZ65" i="28"/>
  <c r="AW65" i="28"/>
  <c r="AT65" i="28"/>
  <c r="AQ65" i="28"/>
  <c r="AN65" i="28"/>
  <c r="AK65" i="28"/>
  <c r="AH65" i="28"/>
  <c r="AE65" i="28"/>
  <c r="AB65" i="28"/>
  <c r="Y65" i="28"/>
  <c r="V65" i="28"/>
  <c r="S65" i="28"/>
  <c r="P65" i="28"/>
  <c r="M65" i="28"/>
  <c r="J65" i="28"/>
  <c r="G65" i="28"/>
  <c r="D65" i="28"/>
  <c r="A65" i="28"/>
  <c r="CD64" i="28"/>
  <c r="CA64" i="28"/>
  <c r="BX64" i="28"/>
  <c r="BU64" i="28"/>
  <c r="BR64" i="28"/>
  <c r="BO64" i="28"/>
  <c r="BL64" i="28"/>
  <c r="BI64" i="28"/>
  <c r="BF64" i="28"/>
  <c r="BC64" i="28"/>
  <c r="AZ64" i="28"/>
  <c r="AW64" i="28"/>
  <c r="AT64" i="28"/>
  <c r="AQ64" i="28"/>
  <c r="AN64" i="28"/>
  <c r="AK64" i="28"/>
  <c r="AH64" i="28"/>
  <c r="AE64" i="28"/>
  <c r="AB64" i="28"/>
  <c r="Y64" i="28"/>
  <c r="V64" i="28"/>
  <c r="S64" i="28"/>
  <c r="P64" i="28"/>
  <c r="M64" i="28"/>
  <c r="J64" i="28"/>
  <c r="G64" i="28"/>
  <c r="D64" i="28"/>
  <c r="A64" i="28"/>
  <c r="CD63" i="28"/>
  <c r="CA63" i="28"/>
  <c r="BX63" i="28"/>
  <c r="BU63" i="28"/>
  <c r="BR63" i="28"/>
  <c r="BO63" i="28"/>
  <c r="BL63" i="28"/>
  <c r="BI63" i="28"/>
  <c r="BF63" i="28"/>
  <c r="BC63" i="28"/>
  <c r="AZ63" i="28"/>
  <c r="AW63" i="28"/>
  <c r="AT63" i="28"/>
  <c r="AQ63" i="28"/>
  <c r="AN63" i="28"/>
  <c r="AK63" i="28"/>
  <c r="AH63" i="28"/>
  <c r="AE63" i="28"/>
  <c r="AB63" i="28"/>
  <c r="Y63" i="28"/>
  <c r="V63" i="28"/>
  <c r="S63" i="28"/>
  <c r="P63" i="28"/>
  <c r="M63" i="28"/>
  <c r="J63" i="28"/>
  <c r="G63" i="28"/>
  <c r="D63" i="28"/>
  <c r="A63" i="28"/>
  <c r="CD62" i="28"/>
  <c r="CA62" i="28"/>
  <c r="BX62" i="28"/>
  <c r="BU62" i="28"/>
  <c r="BR62" i="28"/>
  <c r="BO62" i="28"/>
  <c r="BL62" i="28"/>
  <c r="BI62" i="28"/>
  <c r="BF62" i="28"/>
  <c r="BC62" i="28"/>
  <c r="AZ62" i="28"/>
  <c r="AW62" i="28"/>
  <c r="AT62" i="28"/>
  <c r="AQ62" i="28"/>
  <c r="AN62" i="28"/>
  <c r="AK62" i="28"/>
  <c r="AH62" i="28"/>
  <c r="AE62" i="28"/>
  <c r="AB62" i="28"/>
  <c r="Y62" i="28"/>
  <c r="V62" i="28"/>
  <c r="S62" i="28"/>
  <c r="P62" i="28"/>
  <c r="M62" i="28"/>
  <c r="J62" i="28"/>
  <c r="G62" i="28"/>
  <c r="D62" i="28"/>
  <c r="A62" i="28"/>
  <c r="CD61" i="28"/>
  <c r="CA61" i="28"/>
  <c r="BX61" i="28"/>
  <c r="BU61" i="28"/>
  <c r="BR61" i="28"/>
  <c r="BO61" i="28"/>
  <c r="BL61" i="28"/>
  <c r="BI61" i="28"/>
  <c r="BF61" i="28"/>
  <c r="BC61" i="28"/>
  <c r="AZ61" i="28"/>
  <c r="AW61" i="28"/>
  <c r="AT61" i="28"/>
  <c r="AQ61" i="28"/>
  <c r="AN61" i="28"/>
  <c r="AK61" i="28"/>
  <c r="AH61" i="28"/>
  <c r="AE61" i="28"/>
  <c r="AB61" i="28"/>
  <c r="Y61" i="28"/>
  <c r="V61" i="28"/>
  <c r="S61" i="28"/>
  <c r="P61" i="28"/>
  <c r="M61" i="28"/>
  <c r="J61" i="28"/>
  <c r="G61" i="28"/>
  <c r="D61" i="28"/>
  <c r="A61" i="28"/>
  <c r="CD60" i="28"/>
  <c r="CA60" i="28"/>
  <c r="BX60" i="28"/>
  <c r="BU60" i="28"/>
  <c r="BR60" i="28"/>
  <c r="BO60" i="28"/>
  <c r="BL60" i="28"/>
  <c r="BI60" i="28"/>
  <c r="BF60" i="28"/>
  <c r="BC60" i="28"/>
  <c r="AZ60" i="28"/>
  <c r="AW60" i="28"/>
  <c r="AT60" i="28"/>
  <c r="AQ60" i="28"/>
  <c r="AN60" i="28"/>
  <c r="AK60" i="28"/>
  <c r="AH60" i="28"/>
  <c r="AE60" i="28"/>
  <c r="AB60" i="28"/>
  <c r="Y60" i="28"/>
  <c r="V60" i="28"/>
  <c r="S60" i="28"/>
  <c r="P60" i="28"/>
  <c r="M60" i="28"/>
  <c r="J60" i="28"/>
  <c r="G60" i="28"/>
  <c r="D60" i="28"/>
  <c r="A60" i="28"/>
  <c r="CD59" i="28"/>
  <c r="CA59" i="28"/>
  <c r="BX59" i="28"/>
  <c r="BU59" i="28"/>
  <c r="BR59" i="28"/>
  <c r="BO59" i="28"/>
  <c r="BL59" i="28"/>
  <c r="BI59" i="28"/>
  <c r="BF59" i="28"/>
  <c r="BC59" i="28"/>
  <c r="AZ59" i="28"/>
  <c r="AW59" i="28"/>
  <c r="AT59" i="28"/>
  <c r="AQ59" i="28"/>
  <c r="AN59" i="28"/>
  <c r="AK59" i="28"/>
  <c r="AH59" i="28"/>
  <c r="AE59" i="28"/>
  <c r="AB59" i="28"/>
  <c r="Y59" i="28"/>
  <c r="V59" i="28"/>
  <c r="S59" i="28"/>
  <c r="P59" i="28"/>
  <c r="M59" i="28"/>
  <c r="J59" i="28"/>
  <c r="G59" i="28"/>
  <c r="D59" i="28"/>
  <c r="A59" i="28"/>
  <c r="CD58" i="28"/>
  <c r="CA58" i="28"/>
  <c r="BX58" i="28"/>
  <c r="BU58" i="28"/>
  <c r="BR58" i="28"/>
  <c r="BO58" i="28"/>
  <c r="BL58" i="28"/>
  <c r="BI58" i="28"/>
  <c r="BF58" i="28"/>
  <c r="BC58" i="28"/>
  <c r="AZ58" i="28"/>
  <c r="AW58" i="28"/>
  <c r="AT58" i="28"/>
  <c r="AQ58" i="28"/>
  <c r="AN58" i="28"/>
  <c r="AK58" i="28"/>
  <c r="AH58" i="28"/>
  <c r="AE58" i="28"/>
  <c r="AB58" i="28"/>
  <c r="Y58" i="28"/>
  <c r="V58" i="28"/>
  <c r="S58" i="28"/>
  <c r="P58" i="28"/>
  <c r="M58" i="28"/>
  <c r="J58" i="28"/>
  <c r="G58" i="28"/>
  <c r="D58" i="28"/>
  <c r="A58" i="28"/>
  <c r="CD57" i="28"/>
  <c r="CA57" i="28"/>
  <c r="BX57" i="28"/>
  <c r="BU57" i="28"/>
  <c r="BR57" i="28"/>
  <c r="BO57" i="28"/>
  <c r="BL57" i="28"/>
  <c r="BI57" i="28"/>
  <c r="BF57" i="28"/>
  <c r="BC57" i="28"/>
  <c r="AZ57" i="28"/>
  <c r="AW57" i="28"/>
  <c r="AT57" i="28"/>
  <c r="AQ57" i="28"/>
  <c r="AN57" i="28"/>
  <c r="AK57" i="28"/>
  <c r="AH57" i="28"/>
  <c r="AE57" i="28"/>
  <c r="AB57" i="28"/>
  <c r="Y57" i="28"/>
  <c r="V57" i="28"/>
  <c r="S57" i="28"/>
  <c r="P57" i="28"/>
  <c r="M57" i="28"/>
  <c r="J57" i="28"/>
  <c r="G57" i="28"/>
  <c r="D57" i="28"/>
  <c r="A57" i="28"/>
  <c r="CD56" i="28"/>
  <c r="CA56" i="28"/>
  <c r="BX56" i="28"/>
  <c r="BU56" i="28"/>
  <c r="BR56" i="28"/>
  <c r="BO56" i="28"/>
  <c r="BL56" i="28"/>
  <c r="BI56" i="28"/>
  <c r="BF56" i="28"/>
  <c r="BC56" i="28"/>
  <c r="AZ56" i="28"/>
  <c r="AW56" i="28"/>
  <c r="AT56" i="28"/>
  <c r="AQ56" i="28"/>
  <c r="AN56" i="28"/>
  <c r="AK56" i="28"/>
  <c r="AH56" i="28"/>
  <c r="AE56" i="28"/>
  <c r="AB56" i="28"/>
  <c r="Y56" i="28"/>
  <c r="V56" i="28"/>
  <c r="S56" i="28"/>
  <c r="P56" i="28"/>
  <c r="M56" i="28"/>
  <c r="J56" i="28"/>
  <c r="G56" i="28"/>
  <c r="D56" i="28"/>
  <c r="A56" i="28"/>
  <c r="CD55" i="28"/>
  <c r="CA55" i="28"/>
  <c r="BX55" i="28"/>
  <c r="BU55" i="28"/>
  <c r="BR55" i="28"/>
  <c r="BO55" i="28"/>
  <c r="BL55" i="28"/>
  <c r="BI55" i="28"/>
  <c r="BF55" i="28"/>
  <c r="BC55" i="28"/>
  <c r="AZ55" i="28"/>
  <c r="AW55" i="28"/>
  <c r="AT55" i="28"/>
  <c r="AQ55" i="28"/>
  <c r="AN55" i="28"/>
  <c r="AK55" i="28"/>
  <c r="AH55" i="28"/>
  <c r="AE55" i="28"/>
  <c r="AB55" i="28"/>
  <c r="Y55" i="28"/>
  <c r="V55" i="28"/>
  <c r="S55" i="28"/>
  <c r="P55" i="28"/>
  <c r="M55" i="28"/>
  <c r="J55" i="28"/>
  <c r="G55" i="28"/>
  <c r="D55" i="28"/>
  <c r="A55" i="28"/>
  <c r="CD54" i="28"/>
  <c r="CA54" i="28"/>
  <c r="BX54" i="28"/>
  <c r="BU54" i="28"/>
  <c r="BR54" i="28"/>
  <c r="BO54" i="28"/>
  <c r="BL54" i="28"/>
  <c r="BI54" i="28"/>
  <c r="BF54" i="28"/>
  <c r="BC54" i="28"/>
  <c r="AZ54" i="28"/>
  <c r="AW54" i="28"/>
  <c r="AT54" i="28"/>
  <c r="AQ54" i="28"/>
  <c r="AN54" i="28"/>
  <c r="AK54" i="28"/>
  <c r="AH54" i="28"/>
  <c r="AE54" i="28"/>
  <c r="AB54" i="28"/>
  <c r="Y54" i="28"/>
  <c r="V54" i="28"/>
  <c r="S54" i="28"/>
  <c r="P54" i="28"/>
  <c r="M54" i="28"/>
  <c r="J54" i="28"/>
  <c r="G54" i="28"/>
  <c r="D54" i="28"/>
  <c r="A54" i="28"/>
  <c r="CD53" i="28"/>
  <c r="CA53" i="28"/>
  <c r="BX53" i="28"/>
  <c r="BU53" i="28"/>
  <c r="BR53" i="28"/>
  <c r="BO53" i="28"/>
  <c r="BL53" i="28"/>
  <c r="BI53" i="28"/>
  <c r="BF53" i="28"/>
  <c r="BC53" i="28"/>
  <c r="AZ53" i="28"/>
  <c r="AW53" i="28"/>
  <c r="AT53" i="28"/>
  <c r="AQ53" i="28"/>
  <c r="AN53" i="28"/>
  <c r="AK53" i="28"/>
  <c r="AH53" i="28"/>
  <c r="AE53" i="28"/>
  <c r="AB53" i="28"/>
  <c r="Y53" i="28"/>
  <c r="V53" i="28"/>
  <c r="S53" i="28"/>
  <c r="P53" i="28"/>
  <c r="M53" i="28"/>
  <c r="J53" i="28"/>
  <c r="G53" i="28"/>
  <c r="D53" i="28"/>
  <c r="A53" i="28"/>
  <c r="CD52" i="28"/>
  <c r="CA52" i="28"/>
  <c r="BX52" i="28"/>
  <c r="BU52" i="28"/>
  <c r="BR52" i="28"/>
  <c r="BO52" i="28"/>
  <c r="BL52" i="28"/>
  <c r="BI52" i="28"/>
  <c r="BF52" i="28"/>
  <c r="BC52" i="28"/>
  <c r="AZ52" i="28"/>
  <c r="AW52" i="28"/>
  <c r="AT52" i="28"/>
  <c r="AQ52" i="28"/>
  <c r="AN52" i="28"/>
  <c r="AK52" i="28"/>
  <c r="AH52" i="28"/>
  <c r="AE52" i="28"/>
  <c r="AB52" i="28"/>
  <c r="Y52" i="28"/>
  <c r="V52" i="28"/>
  <c r="S52" i="28"/>
  <c r="P52" i="28"/>
  <c r="M52" i="28"/>
  <c r="J52" i="28"/>
  <c r="G52" i="28"/>
  <c r="D52" i="28"/>
  <c r="A52" i="28"/>
  <c r="CD51" i="28"/>
  <c r="CA51" i="28"/>
  <c r="BX51" i="28"/>
  <c r="BU51" i="28"/>
  <c r="BR51" i="28"/>
  <c r="BO51" i="28"/>
  <c r="BL51" i="28"/>
  <c r="BI51" i="28"/>
  <c r="BF51" i="28"/>
  <c r="BC51" i="28"/>
  <c r="AZ51" i="28"/>
  <c r="AW51" i="28"/>
  <c r="AT51" i="28"/>
  <c r="AQ51" i="28"/>
  <c r="AN51" i="28"/>
  <c r="AK51" i="28"/>
  <c r="AH51" i="28"/>
  <c r="AE51" i="28"/>
  <c r="AB51" i="28"/>
  <c r="Y51" i="28"/>
  <c r="V51" i="28"/>
  <c r="S51" i="28"/>
  <c r="P51" i="28"/>
  <c r="M51" i="28"/>
  <c r="J51" i="28"/>
  <c r="G51" i="28"/>
  <c r="D51" i="28"/>
  <c r="A51" i="28"/>
  <c r="CD50" i="28"/>
  <c r="CA50" i="28"/>
  <c r="BX50" i="28"/>
  <c r="BU50" i="28"/>
  <c r="BR50" i="28"/>
  <c r="BO50" i="28"/>
  <c r="BL50" i="28"/>
  <c r="BI50" i="28"/>
  <c r="BF50" i="28"/>
  <c r="BC50" i="28"/>
  <c r="AZ50" i="28"/>
  <c r="AW50" i="28"/>
  <c r="AT50" i="28"/>
  <c r="AQ50" i="28"/>
  <c r="AN50" i="28"/>
  <c r="AK50" i="28"/>
  <c r="AH50" i="28"/>
  <c r="AE50" i="28"/>
  <c r="AB50" i="28"/>
  <c r="Y50" i="28"/>
  <c r="V50" i="28"/>
  <c r="S50" i="28"/>
  <c r="P50" i="28"/>
  <c r="M50" i="28"/>
  <c r="J50" i="28"/>
  <c r="G50" i="28"/>
  <c r="D50" i="28"/>
  <c r="A50" i="28"/>
  <c r="CD49" i="28"/>
  <c r="CA49" i="28"/>
  <c r="BX49" i="28"/>
  <c r="BU49" i="28"/>
  <c r="BR49" i="28"/>
  <c r="BO49" i="28"/>
  <c r="BL49" i="28"/>
  <c r="BI49" i="28"/>
  <c r="BF49" i="28"/>
  <c r="BC49" i="28"/>
  <c r="AZ49" i="28"/>
  <c r="AW49" i="28"/>
  <c r="AT49" i="28"/>
  <c r="AQ49" i="28"/>
  <c r="AN49" i="28"/>
  <c r="AK49" i="28"/>
  <c r="AH49" i="28"/>
  <c r="AE49" i="28"/>
  <c r="AB49" i="28"/>
  <c r="Y49" i="28"/>
  <c r="V49" i="28"/>
  <c r="S49" i="28"/>
  <c r="P49" i="28"/>
  <c r="M49" i="28"/>
  <c r="J49" i="28"/>
  <c r="G49" i="28"/>
  <c r="D49" i="28"/>
  <c r="A49" i="28"/>
  <c r="CD48" i="28"/>
  <c r="CA48" i="28"/>
  <c r="BX48" i="28"/>
  <c r="BU48" i="28"/>
  <c r="BR48" i="28"/>
  <c r="BO48" i="28"/>
  <c r="BL48" i="28"/>
  <c r="BI48" i="28"/>
  <c r="BF48" i="28"/>
  <c r="BC48" i="28"/>
  <c r="AZ48" i="28"/>
  <c r="AW48" i="28"/>
  <c r="AT48" i="28"/>
  <c r="AQ48" i="28"/>
  <c r="AN48" i="28"/>
  <c r="AK48" i="28"/>
  <c r="AH48" i="28"/>
  <c r="AE48" i="28"/>
  <c r="AB48" i="28"/>
  <c r="Y48" i="28"/>
  <c r="V48" i="28"/>
  <c r="S48" i="28"/>
  <c r="P48" i="28"/>
  <c r="M48" i="28"/>
  <c r="J48" i="28"/>
  <c r="G48" i="28"/>
  <c r="D48" i="28"/>
  <c r="A48" i="28"/>
  <c r="CD47" i="28"/>
  <c r="CA47" i="28"/>
  <c r="BX47" i="28"/>
  <c r="BU47" i="28"/>
  <c r="BR47" i="28"/>
  <c r="BO47" i="28"/>
  <c r="BL47" i="28"/>
  <c r="BI47" i="28"/>
  <c r="BF47" i="28"/>
  <c r="BC47" i="28"/>
  <c r="AZ47" i="28"/>
  <c r="AW47" i="28"/>
  <c r="AT47" i="28"/>
  <c r="AQ47" i="28"/>
  <c r="AN47" i="28"/>
  <c r="AK47" i="28"/>
  <c r="AH47" i="28"/>
  <c r="AE47" i="28"/>
  <c r="AB47" i="28"/>
  <c r="Y47" i="28"/>
  <c r="V47" i="28"/>
  <c r="S47" i="28"/>
  <c r="P47" i="28"/>
  <c r="M47" i="28"/>
  <c r="J47" i="28"/>
  <c r="G47" i="28"/>
  <c r="D47" i="28"/>
  <c r="A47" i="28"/>
  <c r="CD46" i="28"/>
  <c r="CA46" i="28"/>
  <c r="BX46" i="28"/>
  <c r="BU46" i="28"/>
  <c r="BR46" i="28"/>
  <c r="BO46" i="28"/>
  <c r="BL46" i="28"/>
  <c r="BI46" i="28"/>
  <c r="BF46" i="28"/>
  <c r="BC46" i="28"/>
  <c r="AZ46" i="28"/>
  <c r="AW46" i="28"/>
  <c r="AT46" i="28"/>
  <c r="AQ46" i="28"/>
  <c r="AN46" i="28"/>
  <c r="AK46" i="28"/>
  <c r="AH46" i="28"/>
  <c r="AE46" i="28"/>
  <c r="AB46" i="28"/>
  <c r="Y46" i="28"/>
  <c r="V46" i="28"/>
  <c r="S46" i="28"/>
  <c r="P46" i="28"/>
  <c r="M46" i="28"/>
  <c r="J46" i="28"/>
  <c r="G46" i="28"/>
  <c r="D46" i="28"/>
  <c r="A46" i="28"/>
  <c r="CD45" i="28"/>
  <c r="CA45" i="28"/>
  <c r="BX45" i="28"/>
  <c r="BU45" i="28"/>
  <c r="BR45" i="28"/>
  <c r="BO45" i="28"/>
  <c r="BL45" i="28"/>
  <c r="BI45" i="28"/>
  <c r="BF45" i="28"/>
  <c r="BC45" i="28"/>
  <c r="AZ45" i="28"/>
  <c r="AW45" i="28"/>
  <c r="AT45" i="28"/>
  <c r="AQ45" i="28"/>
  <c r="AN45" i="28"/>
  <c r="AK45" i="28"/>
  <c r="AH45" i="28"/>
  <c r="AE45" i="28"/>
  <c r="AB45" i="28"/>
  <c r="Y45" i="28"/>
  <c r="V45" i="28"/>
  <c r="S45" i="28"/>
  <c r="P45" i="28"/>
  <c r="M45" i="28"/>
  <c r="J45" i="28"/>
  <c r="G45" i="28"/>
  <c r="D45" i="28"/>
  <c r="A45" i="28"/>
  <c r="CD44" i="28"/>
  <c r="CA44" i="28"/>
  <c r="BX44" i="28"/>
  <c r="BU44" i="28"/>
  <c r="BR44" i="28"/>
  <c r="BO44" i="28"/>
  <c r="BL44" i="28"/>
  <c r="BI44" i="28"/>
  <c r="BF44" i="28"/>
  <c r="BC44" i="28"/>
  <c r="AZ44" i="28"/>
  <c r="AW44" i="28"/>
  <c r="AT44" i="28"/>
  <c r="AQ44" i="28"/>
  <c r="AN44" i="28"/>
  <c r="AK44" i="28"/>
  <c r="AH44" i="28"/>
  <c r="AE44" i="28"/>
  <c r="AB44" i="28"/>
  <c r="Y44" i="28"/>
  <c r="V44" i="28"/>
  <c r="S44" i="28"/>
  <c r="P44" i="28"/>
  <c r="M44" i="28"/>
  <c r="J44" i="28"/>
  <c r="G44" i="28"/>
  <c r="D44" i="28"/>
  <c r="A44" i="28"/>
  <c r="CD43" i="28"/>
  <c r="CA43" i="28"/>
  <c r="BX43" i="28"/>
  <c r="BU43" i="28"/>
  <c r="BR43" i="28"/>
  <c r="BO43" i="28"/>
  <c r="BL43" i="28"/>
  <c r="BI43" i="28"/>
  <c r="BF43" i="28"/>
  <c r="BC43" i="28"/>
  <c r="AZ43" i="28"/>
  <c r="AW43" i="28"/>
  <c r="AT43" i="28"/>
  <c r="AQ43" i="28"/>
  <c r="AN43" i="28"/>
  <c r="AK43" i="28"/>
  <c r="AH43" i="28"/>
  <c r="AE43" i="28"/>
  <c r="AB43" i="28"/>
  <c r="Y43" i="28"/>
  <c r="V43" i="28"/>
  <c r="S43" i="28"/>
  <c r="P43" i="28"/>
  <c r="M43" i="28"/>
  <c r="J43" i="28"/>
  <c r="G43" i="28"/>
  <c r="D43" i="28"/>
  <c r="A43" i="28"/>
  <c r="CD42" i="28"/>
  <c r="CA42" i="28"/>
  <c r="BX42" i="28"/>
  <c r="BU42" i="28"/>
  <c r="BR42" i="28"/>
  <c r="BO42" i="28"/>
  <c r="BL42" i="28"/>
  <c r="BI42" i="28"/>
  <c r="BF42" i="28"/>
  <c r="BC42" i="28"/>
  <c r="AZ42" i="28"/>
  <c r="AW42" i="28"/>
  <c r="AT42" i="28"/>
  <c r="AQ42" i="28"/>
  <c r="AN42" i="28"/>
  <c r="AK42" i="28"/>
  <c r="AH42" i="28"/>
  <c r="AE42" i="28"/>
  <c r="AB42" i="28"/>
  <c r="Y42" i="28"/>
  <c r="V42" i="28"/>
  <c r="S42" i="28"/>
  <c r="P42" i="28"/>
  <c r="M42" i="28"/>
  <c r="J42" i="28"/>
  <c r="G42" i="28"/>
  <c r="D42" i="28"/>
  <c r="A42" i="28"/>
  <c r="CD41" i="28"/>
  <c r="CA41" i="28"/>
  <c r="BX41" i="28"/>
  <c r="BU41" i="28"/>
  <c r="BR41" i="28"/>
  <c r="BO41" i="28"/>
  <c r="BL41" i="28"/>
  <c r="BI41" i="28"/>
  <c r="BF41" i="28"/>
  <c r="BC41" i="28"/>
  <c r="AZ41" i="28"/>
  <c r="AW41" i="28"/>
  <c r="AT41" i="28"/>
  <c r="AQ41" i="28"/>
  <c r="AN41" i="28"/>
  <c r="AK41" i="28"/>
  <c r="AH41" i="28"/>
  <c r="AE41" i="28"/>
  <c r="AB41" i="28"/>
  <c r="Y41" i="28"/>
  <c r="V41" i="28"/>
  <c r="S41" i="28"/>
  <c r="P41" i="28"/>
  <c r="M41" i="28"/>
  <c r="J41" i="28"/>
  <c r="G41" i="28"/>
  <c r="D41" i="28"/>
  <c r="A41" i="28"/>
  <c r="CD40" i="28"/>
  <c r="CA40" i="28"/>
  <c r="BX40" i="28"/>
  <c r="BU40" i="28"/>
  <c r="BR40" i="28"/>
  <c r="BO40" i="28"/>
  <c r="BL40" i="28"/>
  <c r="BI40" i="28"/>
  <c r="BF40" i="28"/>
  <c r="BC40" i="28"/>
  <c r="AZ40" i="28"/>
  <c r="AW40" i="28"/>
  <c r="AT40" i="28"/>
  <c r="AQ40" i="28"/>
  <c r="AN40" i="28"/>
  <c r="AK40" i="28"/>
  <c r="AH40" i="28"/>
  <c r="AE40" i="28"/>
  <c r="AB40" i="28"/>
  <c r="Y40" i="28"/>
  <c r="V40" i="28"/>
  <c r="S40" i="28"/>
  <c r="P40" i="28"/>
  <c r="M40" i="28"/>
  <c r="J40" i="28"/>
  <c r="G40" i="28"/>
  <c r="D40" i="28"/>
  <c r="A40" i="28"/>
  <c r="CX34" i="28"/>
  <c r="CV34" i="28"/>
  <c r="CU34" i="28"/>
  <c r="CS34" i="28"/>
  <c r="CR34" i="28"/>
  <c r="CP34" i="28"/>
  <c r="CO34" i="28"/>
  <c r="CM34" i="28"/>
  <c r="CL34" i="28"/>
  <c r="CJ34" i="28"/>
  <c r="CI34" i="28"/>
  <c r="CG34" i="28"/>
  <c r="CF34" i="28"/>
  <c r="CD34" i="28"/>
  <c r="CC34" i="28"/>
  <c r="CA34" i="28"/>
  <c r="BZ34" i="28"/>
  <c r="BX34" i="28"/>
  <c r="BW34" i="28"/>
  <c r="BU34" i="28"/>
  <c r="BT34" i="28"/>
  <c r="BR34" i="28"/>
  <c r="BQ34" i="28"/>
  <c r="BO34" i="28"/>
  <c r="BN34" i="28"/>
  <c r="BL34" i="28"/>
  <c r="BK34" i="28"/>
  <c r="BI34" i="28"/>
  <c r="BH34" i="28"/>
  <c r="BF34" i="28"/>
  <c r="BE34" i="28"/>
  <c r="BC34" i="28"/>
  <c r="BB34" i="28"/>
  <c r="AZ34" i="28"/>
  <c r="AY34" i="28"/>
  <c r="AW34" i="28"/>
  <c r="AV34" i="28"/>
  <c r="AT34" i="28"/>
  <c r="AS34" i="28"/>
  <c r="AQ34" i="28"/>
  <c r="AN34" i="28"/>
  <c r="AK34" i="28"/>
  <c r="AH34" i="28"/>
  <c r="AE34" i="28"/>
  <c r="AB34" i="28"/>
  <c r="Y34" i="28"/>
  <c r="V34" i="28"/>
  <c r="S34" i="28"/>
  <c r="P34" i="28"/>
  <c r="M34" i="28"/>
  <c r="J34" i="28"/>
  <c r="G34" i="28"/>
  <c r="D34" i="28"/>
  <c r="A34" i="28"/>
  <c r="CV33" i="28"/>
  <c r="CS33" i="28"/>
  <c r="CP33" i="28"/>
  <c r="CM33" i="28"/>
  <c r="CJ33" i="28"/>
  <c r="CG33" i="28"/>
  <c r="CD33" i="28"/>
  <c r="CA33" i="28"/>
  <c r="BX33" i="28"/>
  <c r="BU33" i="28"/>
  <c r="BR33" i="28"/>
  <c r="BO33" i="28"/>
  <c r="BL33" i="28"/>
  <c r="BI33" i="28"/>
  <c r="BF33" i="28"/>
  <c r="BC33" i="28"/>
  <c r="AZ33" i="28"/>
  <c r="AW33" i="28"/>
  <c r="AT33" i="28"/>
  <c r="AQ33" i="28"/>
  <c r="AN33" i="28"/>
  <c r="AK33" i="28"/>
  <c r="AH33" i="28"/>
  <c r="AE33" i="28"/>
  <c r="AB33" i="28"/>
  <c r="Y33" i="28"/>
  <c r="V33" i="28"/>
  <c r="S33" i="28"/>
  <c r="P33" i="28"/>
  <c r="M33" i="28"/>
  <c r="J33" i="28"/>
  <c r="G33" i="28"/>
  <c r="D33" i="28"/>
  <c r="A33" i="28"/>
  <c r="CV32" i="28"/>
  <c r="CS32" i="28"/>
  <c r="CP32" i="28"/>
  <c r="CM32" i="28"/>
  <c r="CJ32" i="28"/>
  <c r="CG32" i="28"/>
  <c r="CD32" i="28"/>
  <c r="CA32" i="28"/>
  <c r="BX32" i="28"/>
  <c r="BU32" i="28"/>
  <c r="BR32" i="28"/>
  <c r="BO32" i="28"/>
  <c r="BL32" i="28"/>
  <c r="BI32" i="28"/>
  <c r="BF32" i="28"/>
  <c r="BC32" i="28"/>
  <c r="AZ32" i="28"/>
  <c r="AW32" i="28"/>
  <c r="AT32" i="28"/>
  <c r="AQ32" i="28"/>
  <c r="AN32" i="28"/>
  <c r="AK32" i="28"/>
  <c r="AH32" i="28"/>
  <c r="AE32" i="28"/>
  <c r="AB32" i="28"/>
  <c r="Y32" i="28"/>
  <c r="V32" i="28"/>
  <c r="S32" i="28"/>
  <c r="P32" i="28"/>
  <c r="M32" i="28"/>
  <c r="J32" i="28"/>
  <c r="G32" i="28"/>
  <c r="F32" i="28"/>
  <c r="F33" i="28" s="1"/>
  <c r="F34" i="28"/>
  <c r="D32" i="28"/>
  <c r="C32" i="28"/>
  <c r="C33" i="28" s="1"/>
  <c r="C34" i="28" s="1"/>
  <c r="A32" i="28"/>
  <c r="CV31" i="28"/>
  <c r="CS31" i="28"/>
  <c r="CP31" i="28"/>
  <c r="CM31" i="28"/>
  <c r="CJ31" i="28"/>
  <c r="CG31" i="28"/>
  <c r="CD31" i="28"/>
  <c r="CA31" i="28"/>
  <c r="BX31" i="28"/>
  <c r="BU31" i="28"/>
  <c r="BR31" i="28"/>
  <c r="BO31" i="28"/>
  <c r="BL31" i="28"/>
  <c r="BI31" i="28"/>
  <c r="BF31" i="28"/>
  <c r="BC31" i="28"/>
  <c r="AZ31" i="28"/>
  <c r="AW31" i="28"/>
  <c r="AT31" i="28"/>
  <c r="AQ31" i="28"/>
  <c r="AN31" i="28"/>
  <c r="AK31" i="28"/>
  <c r="AH31" i="28"/>
  <c r="AE31" i="28"/>
  <c r="AB31" i="28"/>
  <c r="Y31" i="28"/>
  <c r="V31" i="28"/>
  <c r="S31" i="28"/>
  <c r="P31" i="28"/>
  <c r="O31" i="28"/>
  <c r="O32" i="28"/>
  <c r="O33" i="28"/>
  <c r="O34" i="28" s="1"/>
  <c r="M31" i="28"/>
  <c r="L31" i="28"/>
  <c r="L32" i="28" s="1"/>
  <c r="L33" i="28" s="1"/>
  <c r="L34" i="28" s="1"/>
  <c r="J31" i="28"/>
  <c r="I31" i="28"/>
  <c r="I32" i="28" s="1"/>
  <c r="I33" i="28" s="1"/>
  <c r="I34" i="28" s="1"/>
  <c r="G31" i="28"/>
  <c r="D31" i="28"/>
  <c r="A31" i="28"/>
  <c r="CV30" i="28"/>
  <c r="CS30" i="28"/>
  <c r="CP30" i="28"/>
  <c r="CM30" i="28"/>
  <c r="CJ30" i="28"/>
  <c r="CG30" i="28"/>
  <c r="CD30" i="28"/>
  <c r="CA30" i="28"/>
  <c r="BX30" i="28"/>
  <c r="BU30" i="28"/>
  <c r="BR30" i="28"/>
  <c r="BO30" i="28"/>
  <c r="BL30" i="28"/>
  <c r="BI30" i="28"/>
  <c r="BF30" i="28"/>
  <c r="BC30" i="28"/>
  <c r="AZ30" i="28"/>
  <c r="AW30" i="28"/>
  <c r="AT30" i="28"/>
  <c r="AQ30" i="28"/>
  <c r="AN30" i="28"/>
  <c r="AK30" i="28"/>
  <c r="AH30" i="28"/>
  <c r="AE30" i="28"/>
  <c r="AB30" i="28"/>
  <c r="Y30" i="28"/>
  <c r="X33" i="28"/>
  <c r="X34" i="28" s="1"/>
  <c r="V30" i="28"/>
  <c r="S30" i="28"/>
  <c r="P30" i="28"/>
  <c r="M30" i="28"/>
  <c r="J30" i="28"/>
  <c r="G30" i="28"/>
  <c r="D30" i="28"/>
  <c r="A30" i="28"/>
  <c r="CV29" i="28"/>
  <c r="CS29" i="28"/>
  <c r="CP29" i="28"/>
  <c r="CM29" i="28"/>
  <c r="CJ29" i="28"/>
  <c r="CG29" i="28"/>
  <c r="CD29" i="28"/>
  <c r="CA29" i="28"/>
  <c r="BX29" i="28"/>
  <c r="BU29" i="28"/>
  <c r="BR29" i="28"/>
  <c r="BO29" i="28"/>
  <c r="BL29" i="28"/>
  <c r="BI29" i="28"/>
  <c r="BF29" i="28"/>
  <c r="BC29" i="28"/>
  <c r="AZ29" i="28"/>
  <c r="AW29" i="28"/>
  <c r="AT29" i="28"/>
  <c r="AQ29" i="28"/>
  <c r="AN29" i="28"/>
  <c r="AK29" i="28"/>
  <c r="AH29" i="28"/>
  <c r="AE29" i="28"/>
  <c r="AB29" i="28"/>
  <c r="Y29" i="28"/>
  <c r="X29" i="28"/>
  <c r="X30" i="28" s="1"/>
  <c r="X31" i="28" s="1"/>
  <c r="X32" i="28" s="1"/>
  <c r="V29" i="28"/>
  <c r="U29" i="28"/>
  <c r="U30" i="28"/>
  <c r="U31" i="28"/>
  <c r="U32" i="28" s="1"/>
  <c r="U33" i="28" s="1"/>
  <c r="U34" i="28"/>
  <c r="S29" i="28"/>
  <c r="R29" i="28"/>
  <c r="R30" i="28" s="1"/>
  <c r="R31" i="28"/>
  <c r="R32" i="28"/>
  <c r="R33" i="28" s="1"/>
  <c r="R34" i="28" s="1"/>
  <c r="P29" i="28"/>
  <c r="M29" i="28"/>
  <c r="J29" i="28"/>
  <c r="G29" i="28"/>
  <c r="D29" i="28"/>
  <c r="A29" i="28"/>
  <c r="CV28" i="28"/>
  <c r="CS28" i="28"/>
  <c r="CP28" i="28"/>
  <c r="CM28" i="28"/>
  <c r="CJ28" i="28"/>
  <c r="CG28" i="28"/>
  <c r="CD28" i="28"/>
  <c r="CA28" i="28"/>
  <c r="BX28" i="28"/>
  <c r="BU28" i="28"/>
  <c r="BR28" i="28"/>
  <c r="BO28" i="28"/>
  <c r="BL28" i="28"/>
  <c r="BI28" i="28"/>
  <c r="BF28" i="28"/>
  <c r="BC28" i="28"/>
  <c r="AZ28" i="28"/>
  <c r="AW28" i="28"/>
  <c r="AT28" i="28"/>
  <c r="AQ28" i="28"/>
  <c r="AN28" i="28"/>
  <c r="AK28" i="28"/>
  <c r="AH28" i="28"/>
  <c r="AE28" i="28"/>
  <c r="AD31" i="28"/>
  <c r="AD32" i="28" s="1"/>
  <c r="AD33" i="28" s="1"/>
  <c r="AD34" i="28"/>
  <c r="AB28" i="28"/>
  <c r="Y28" i="28"/>
  <c r="V28" i="28"/>
  <c r="S28" i="28"/>
  <c r="P28" i="28"/>
  <c r="M28" i="28"/>
  <c r="J28" i="28"/>
  <c r="G28" i="28"/>
  <c r="D28" i="28"/>
  <c r="A28" i="28"/>
  <c r="CV27" i="28"/>
  <c r="CS27" i="28"/>
  <c r="CP27" i="28"/>
  <c r="CM27" i="28"/>
  <c r="CJ27" i="28"/>
  <c r="CG27" i="28"/>
  <c r="CD27" i="28"/>
  <c r="CA27" i="28"/>
  <c r="BX27" i="28"/>
  <c r="BU27" i="28"/>
  <c r="BR27" i="28"/>
  <c r="BO27" i="28"/>
  <c r="BL27" i="28"/>
  <c r="BI27" i="28"/>
  <c r="BF27" i="28"/>
  <c r="BC27" i="28"/>
  <c r="AZ27" i="28"/>
  <c r="AW27" i="28"/>
  <c r="AT27" i="28"/>
  <c r="AQ27" i="28"/>
  <c r="AP27" i="28"/>
  <c r="AP28" i="28" s="1"/>
  <c r="AP29" i="28"/>
  <c r="AP30" i="28"/>
  <c r="AP31" i="28" s="1"/>
  <c r="AP32" i="28" s="1"/>
  <c r="AP33" i="28" s="1"/>
  <c r="AP34" i="28" s="1"/>
  <c r="AN27" i="28"/>
  <c r="AM27" i="28"/>
  <c r="AM28" i="28"/>
  <c r="AM29" i="28"/>
  <c r="AM30" i="28" s="1"/>
  <c r="AM31" i="28" s="1"/>
  <c r="AM32" i="28"/>
  <c r="AM33" i="28" s="1"/>
  <c r="AM34" i="28" s="1"/>
  <c r="AK27" i="28"/>
  <c r="AJ27" i="28"/>
  <c r="AJ28" i="28"/>
  <c r="AJ29" i="28" s="1"/>
  <c r="AJ30" i="28" s="1"/>
  <c r="AJ31" i="28" s="1"/>
  <c r="AJ32" i="28" s="1"/>
  <c r="AJ33" i="28" s="1"/>
  <c r="AJ34" i="28" s="1"/>
  <c r="AH27" i="28"/>
  <c r="AG27" i="28"/>
  <c r="AG28" i="28" s="1"/>
  <c r="AG29" i="28" s="1"/>
  <c r="AG30" i="28"/>
  <c r="AG31" i="28" s="1"/>
  <c r="AG32" i="28" s="1"/>
  <c r="AG33" i="28" s="1"/>
  <c r="AG34" i="28" s="1"/>
  <c r="AE27" i="28"/>
  <c r="AD27" i="28"/>
  <c r="AD28" i="28" s="1"/>
  <c r="AD29" i="28" s="1"/>
  <c r="AD30" i="28" s="1"/>
  <c r="AB27" i="28"/>
  <c r="AA27" i="28"/>
  <c r="AA28" i="28" s="1"/>
  <c r="AA29" i="28" s="1"/>
  <c r="AA30" i="28" s="1"/>
  <c r="AA31" i="28" s="1"/>
  <c r="AA32" i="28" s="1"/>
  <c r="AA33" i="28" s="1"/>
  <c r="AA34" i="28" s="1"/>
  <c r="Y27" i="28"/>
  <c r="V27" i="28"/>
  <c r="S27" i="28"/>
  <c r="P27" i="28"/>
  <c r="M27" i="28"/>
  <c r="J27" i="28"/>
  <c r="G27" i="28"/>
  <c r="D27" i="28"/>
  <c r="A27" i="28"/>
  <c r="CV26" i="28"/>
  <c r="CS26" i="28"/>
  <c r="CP26" i="28"/>
  <c r="CM26" i="28"/>
  <c r="CJ26" i="28"/>
  <c r="CG26" i="28"/>
  <c r="CD26" i="28"/>
  <c r="CA26" i="28"/>
  <c r="BX26" i="28"/>
  <c r="BU26" i="28"/>
  <c r="BR26" i="28"/>
  <c r="BO26" i="28"/>
  <c r="BL26" i="28"/>
  <c r="BI26" i="28"/>
  <c r="BF26" i="28"/>
  <c r="BC26" i="28"/>
  <c r="AZ26" i="28"/>
  <c r="AW26" i="28"/>
  <c r="AT26" i="28"/>
  <c r="AQ26" i="28"/>
  <c r="AN26" i="28"/>
  <c r="AK26" i="28"/>
  <c r="AH26" i="28"/>
  <c r="AE26" i="28"/>
  <c r="AB26" i="28"/>
  <c r="Y26" i="28"/>
  <c r="V26" i="28"/>
  <c r="S26" i="28"/>
  <c r="P26" i="28"/>
  <c r="M26" i="28"/>
  <c r="J26" i="28"/>
  <c r="G26" i="28"/>
  <c r="D26" i="28"/>
  <c r="A26" i="28"/>
  <c r="CV25" i="28"/>
  <c r="CS25" i="28"/>
  <c r="CP25" i="28"/>
  <c r="CM25" i="28"/>
  <c r="CJ25" i="28"/>
  <c r="CG25" i="28"/>
  <c r="CD25" i="28"/>
  <c r="CA25" i="28"/>
  <c r="BX25" i="28"/>
  <c r="BU25" i="28"/>
  <c r="BR25" i="28"/>
  <c r="BO25" i="28"/>
  <c r="BL25" i="28"/>
  <c r="BI25" i="28"/>
  <c r="BF25" i="28"/>
  <c r="BC25" i="28"/>
  <c r="AZ25" i="28"/>
  <c r="AW25" i="28"/>
  <c r="AT25" i="28"/>
  <c r="AQ25" i="28"/>
  <c r="AN25" i="28"/>
  <c r="AK25" i="28"/>
  <c r="AH25" i="28"/>
  <c r="AE25" i="28"/>
  <c r="AB25" i="28"/>
  <c r="Y25" i="28"/>
  <c r="V25" i="28"/>
  <c r="S25" i="28"/>
  <c r="P25" i="28"/>
  <c r="M25" i="28"/>
  <c r="J25" i="28"/>
  <c r="G25" i="28"/>
  <c r="D25" i="28"/>
  <c r="A25" i="28"/>
  <c r="CV24" i="28"/>
  <c r="CS24" i="28"/>
  <c r="CP24" i="28"/>
  <c r="CM24" i="28"/>
  <c r="CJ24" i="28"/>
  <c r="CG24" i="28"/>
  <c r="CD24" i="28"/>
  <c r="CA24" i="28"/>
  <c r="BX24" i="28"/>
  <c r="BU24" i="28"/>
  <c r="BR24" i="28"/>
  <c r="BO24" i="28"/>
  <c r="BL24" i="28"/>
  <c r="BI24" i="28"/>
  <c r="BF24" i="28"/>
  <c r="BC24" i="28"/>
  <c r="AZ24" i="28"/>
  <c r="AW24" i="28"/>
  <c r="AT24" i="28"/>
  <c r="AQ24" i="28"/>
  <c r="AN24" i="28"/>
  <c r="AK24" i="28"/>
  <c r="AH24" i="28"/>
  <c r="AE24" i="28"/>
  <c r="AB24" i="28"/>
  <c r="Y24" i="28"/>
  <c r="V24" i="28"/>
  <c r="S24" i="28"/>
  <c r="P24" i="28"/>
  <c r="M24" i="28"/>
  <c r="J24" i="28"/>
  <c r="G24" i="28"/>
  <c r="D24" i="28"/>
  <c r="A24" i="28"/>
  <c r="CV23" i="28"/>
  <c r="CS23" i="28"/>
  <c r="CP23" i="28"/>
  <c r="CM23" i="28"/>
  <c r="CJ23" i="28"/>
  <c r="CG23" i="28"/>
  <c r="CD23" i="28"/>
  <c r="CA23" i="28"/>
  <c r="BX23" i="28"/>
  <c r="BU23" i="28"/>
  <c r="BR23" i="28"/>
  <c r="BO23" i="28"/>
  <c r="BL23" i="28"/>
  <c r="BI23" i="28"/>
  <c r="BF23" i="28"/>
  <c r="BC23" i="28"/>
  <c r="AZ23" i="28"/>
  <c r="AW23" i="28"/>
  <c r="AT23" i="28"/>
  <c r="AQ23" i="28"/>
  <c r="AN23" i="28"/>
  <c r="AK23" i="28"/>
  <c r="AH23" i="28"/>
  <c r="AE23" i="28"/>
  <c r="AB23" i="28"/>
  <c r="Y23" i="28"/>
  <c r="V23" i="28"/>
  <c r="S23" i="28"/>
  <c r="P23" i="28"/>
  <c r="M23" i="28"/>
  <c r="J23" i="28"/>
  <c r="G23" i="28"/>
  <c r="D23" i="28"/>
  <c r="A23" i="28"/>
  <c r="CV22" i="28"/>
  <c r="CS22" i="28"/>
  <c r="CP22" i="28"/>
  <c r="CM22" i="28"/>
  <c r="CJ22" i="28"/>
  <c r="CG22" i="28"/>
  <c r="CD22" i="28"/>
  <c r="CA22" i="28"/>
  <c r="BX22" i="28"/>
  <c r="BU22" i="28"/>
  <c r="BR22" i="28"/>
  <c r="BO22" i="28"/>
  <c r="BL22" i="28"/>
  <c r="BI22" i="28"/>
  <c r="BF22" i="28"/>
  <c r="BC22" i="28"/>
  <c r="AZ22" i="28"/>
  <c r="AW22" i="28"/>
  <c r="AT22" i="28"/>
  <c r="AQ22" i="28"/>
  <c r="AN22" i="28"/>
  <c r="AK22" i="28"/>
  <c r="AH22" i="28"/>
  <c r="AE22" i="28"/>
  <c r="AB22" i="28"/>
  <c r="Y22" i="28"/>
  <c r="V22" i="28"/>
  <c r="S22" i="28"/>
  <c r="P22" i="28"/>
  <c r="M22" i="28"/>
  <c r="J22" i="28"/>
  <c r="G22" i="28"/>
  <c r="D22" i="28"/>
  <c r="A22" i="28"/>
  <c r="CV21" i="28"/>
  <c r="CS21" i="28"/>
  <c r="CP21" i="28"/>
  <c r="CM21" i="28"/>
  <c r="CJ21" i="28"/>
  <c r="CG21" i="28"/>
  <c r="CD21" i="28"/>
  <c r="CA21" i="28"/>
  <c r="BX21" i="28"/>
  <c r="BU21" i="28"/>
  <c r="BR21" i="28"/>
  <c r="BO21" i="28"/>
  <c r="BL21" i="28"/>
  <c r="BI21" i="28"/>
  <c r="BF21" i="28"/>
  <c r="BC21" i="28"/>
  <c r="AZ21" i="28"/>
  <c r="AW21" i="28"/>
  <c r="AT21" i="28"/>
  <c r="AQ21" i="28"/>
  <c r="AN21" i="28"/>
  <c r="AK21" i="28"/>
  <c r="AH21" i="28"/>
  <c r="AE21" i="28"/>
  <c r="AB21" i="28"/>
  <c r="Y21" i="28"/>
  <c r="V21" i="28"/>
  <c r="S21" i="28"/>
  <c r="P21" i="28"/>
  <c r="M21" i="28"/>
  <c r="J21" i="28"/>
  <c r="G21" i="28"/>
  <c r="D21" i="28"/>
  <c r="A21" i="28"/>
  <c r="CV20" i="28"/>
  <c r="CS20" i="28"/>
  <c r="CP20" i="28"/>
  <c r="CM20" i="28"/>
  <c r="CJ20" i="28"/>
  <c r="CG20" i="28"/>
  <c r="CD20" i="28"/>
  <c r="CA20" i="28"/>
  <c r="BX20" i="28"/>
  <c r="BU20" i="28"/>
  <c r="BR20" i="28"/>
  <c r="BO20" i="28"/>
  <c r="BL20" i="28"/>
  <c r="BI20" i="28"/>
  <c r="BF20" i="28"/>
  <c r="BC20" i="28"/>
  <c r="AZ20" i="28"/>
  <c r="AW20" i="28"/>
  <c r="AT20" i="28"/>
  <c r="AQ20" i="28"/>
  <c r="AN20" i="28"/>
  <c r="AK20" i="28"/>
  <c r="AH20" i="28"/>
  <c r="AE20" i="28"/>
  <c r="AB20" i="28"/>
  <c r="Y20" i="28"/>
  <c r="V20" i="28"/>
  <c r="S20" i="28"/>
  <c r="P20" i="28"/>
  <c r="M20" i="28"/>
  <c r="J20" i="28"/>
  <c r="G20" i="28"/>
  <c r="D20" i="28"/>
  <c r="A20" i="28"/>
  <c r="CV19" i="28"/>
  <c r="CS19" i="28"/>
  <c r="CP19" i="28"/>
  <c r="CM19" i="28"/>
  <c r="CJ19" i="28"/>
  <c r="CG19" i="28"/>
  <c r="CD19" i="28"/>
  <c r="CA19" i="28"/>
  <c r="BX19" i="28"/>
  <c r="BU19" i="28"/>
  <c r="BR19" i="28"/>
  <c r="BO19" i="28"/>
  <c r="BL19" i="28"/>
  <c r="BI19" i="28"/>
  <c r="BF19" i="28"/>
  <c r="BC19" i="28"/>
  <c r="AZ19" i="28"/>
  <c r="AW19" i="28"/>
  <c r="AT19" i="28"/>
  <c r="AQ19" i="28"/>
  <c r="AN19" i="28"/>
  <c r="AK19" i="28"/>
  <c r="AH19" i="28"/>
  <c r="AE19" i="28"/>
  <c r="AB19" i="28"/>
  <c r="Y19" i="28"/>
  <c r="V19" i="28"/>
  <c r="S19" i="28"/>
  <c r="P19" i="28"/>
  <c r="M19" i="28"/>
  <c r="J19" i="28"/>
  <c r="G19" i="28"/>
  <c r="D19" i="28"/>
  <c r="A19" i="28"/>
  <c r="CV18" i="28"/>
  <c r="CS18" i="28"/>
  <c r="CP18" i="28"/>
  <c r="CM18" i="28"/>
  <c r="CJ18" i="28"/>
  <c r="CG18" i="28"/>
  <c r="CD18" i="28"/>
  <c r="CA18" i="28"/>
  <c r="BX18" i="28"/>
  <c r="BU18" i="28"/>
  <c r="BR18" i="28"/>
  <c r="BO18" i="28"/>
  <c r="BL18" i="28"/>
  <c r="BI18" i="28"/>
  <c r="BF18" i="28"/>
  <c r="BC18" i="28"/>
  <c r="AZ18" i="28"/>
  <c r="AW18" i="28"/>
  <c r="AT18" i="28"/>
  <c r="AQ18" i="28"/>
  <c r="AN18" i="28"/>
  <c r="AK18" i="28"/>
  <c r="AH18" i="28"/>
  <c r="AE18" i="28"/>
  <c r="AB18" i="28"/>
  <c r="Y18" i="28"/>
  <c r="V18" i="28"/>
  <c r="S18" i="28"/>
  <c r="P18" i="28"/>
  <c r="M18" i="28"/>
  <c r="J18" i="28"/>
  <c r="G18" i="28"/>
  <c r="D18" i="28"/>
  <c r="A18" i="28"/>
  <c r="CV17" i="28"/>
  <c r="CS17" i="28"/>
  <c r="CP17" i="28"/>
  <c r="CM17" i="28"/>
  <c r="CJ17" i="28"/>
  <c r="CG17" i="28"/>
  <c r="CD17" i="28"/>
  <c r="CA17" i="28"/>
  <c r="BX17" i="28"/>
  <c r="BU17" i="28"/>
  <c r="BR17" i="28"/>
  <c r="BO17" i="28"/>
  <c r="BL17" i="28"/>
  <c r="BI17" i="28"/>
  <c r="BF17" i="28"/>
  <c r="BC17" i="28"/>
  <c r="AZ17" i="28"/>
  <c r="AW17" i="28"/>
  <c r="AT17" i="28"/>
  <c r="AQ17" i="28"/>
  <c r="AN17" i="28"/>
  <c r="AK17" i="28"/>
  <c r="AH17" i="28"/>
  <c r="AE17" i="28"/>
  <c r="AB17" i="28"/>
  <c r="Y17" i="28"/>
  <c r="V17" i="28"/>
  <c r="S17" i="28"/>
  <c r="P17" i="28"/>
  <c r="M17" i="28"/>
  <c r="J17" i="28"/>
  <c r="G17" i="28"/>
  <c r="D17" i="28"/>
  <c r="A17" i="28"/>
  <c r="CV16" i="28"/>
  <c r="CS16" i="28"/>
  <c r="CP16" i="28"/>
  <c r="CM16" i="28"/>
  <c r="CJ16" i="28"/>
  <c r="CG16" i="28"/>
  <c r="CD16" i="28"/>
  <c r="CA16" i="28"/>
  <c r="BX16" i="28"/>
  <c r="BU16" i="28"/>
  <c r="BR16" i="28"/>
  <c r="BO16" i="28"/>
  <c r="BL16" i="28"/>
  <c r="BI16" i="28"/>
  <c r="BF16" i="28"/>
  <c r="BC16" i="28"/>
  <c r="AZ16" i="28"/>
  <c r="AW16" i="28"/>
  <c r="AT16" i="28"/>
  <c r="AQ16" i="28"/>
  <c r="AN16" i="28"/>
  <c r="AK16" i="28"/>
  <c r="AH16" i="28"/>
  <c r="AE16" i="28"/>
  <c r="AB16" i="28"/>
  <c r="Y16" i="28"/>
  <c r="V16" i="28"/>
  <c r="S16" i="28"/>
  <c r="P16" i="28"/>
  <c r="M16" i="28"/>
  <c r="J16" i="28"/>
  <c r="G16" i="28"/>
  <c r="D16" i="28"/>
  <c r="A16" i="28"/>
  <c r="CV15" i="28"/>
  <c r="CS15" i="28"/>
  <c r="CP15" i="28"/>
  <c r="CM15" i="28"/>
  <c r="CJ15" i="28"/>
  <c r="CG15" i="28"/>
  <c r="CD15" i="28"/>
  <c r="CA15" i="28"/>
  <c r="BX15" i="28"/>
  <c r="BU15" i="28"/>
  <c r="BR15" i="28"/>
  <c r="BO15" i="28"/>
  <c r="BL15" i="28"/>
  <c r="BI15" i="28"/>
  <c r="BF15" i="28"/>
  <c r="BC15" i="28"/>
  <c r="AZ15" i="28"/>
  <c r="AW15" i="28"/>
  <c r="AT15" i="28"/>
  <c r="AQ15" i="28"/>
  <c r="AN15" i="28"/>
  <c r="AK15" i="28"/>
  <c r="AH15" i="28"/>
  <c r="AE15" i="28"/>
  <c r="AB15" i="28"/>
  <c r="Y15" i="28"/>
  <c r="V15" i="28"/>
  <c r="S15" i="28"/>
  <c r="P15" i="28"/>
  <c r="M15" i="28"/>
  <c r="J15" i="28"/>
  <c r="G15" i="28"/>
  <c r="D15" i="28"/>
  <c r="A15" i="28"/>
  <c r="CV14" i="28"/>
  <c r="CS14" i="28"/>
  <c r="CP14" i="28"/>
  <c r="CM14" i="28"/>
  <c r="CJ14" i="28"/>
  <c r="CG14" i="28"/>
  <c r="CD14" i="28"/>
  <c r="CA14" i="28"/>
  <c r="BX14" i="28"/>
  <c r="BU14" i="28"/>
  <c r="BR14" i="28"/>
  <c r="BO14" i="28"/>
  <c r="BL14" i="28"/>
  <c r="BI14" i="28"/>
  <c r="BF14" i="28"/>
  <c r="BC14" i="28"/>
  <c r="AZ14" i="28"/>
  <c r="AW14" i="28"/>
  <c r="AT14" i="28"/>
  <c r="AQ14" i="28"/>
  <c r="AN14" i="28"/>
  <c r="AK14" i="28"/>
  <c r="AH14" i="28"/>
  <c r="AE14" i="28"/>
  <c r="AB14" i="28"/>
  <c r="Y14" i="28"/>
  <c r="V14" i="28"/>
  <c r="S14" i="28"/>
  <c r="P14" i="28"/>
  <c r="M14" i="28"/>
  <c r="J14" i="28"/>
  <c r="G14" i="28"/>
  <c r="D14" i="28"/>
  <c r="A14" i="28"/>
  <c r="CV13" i="28"/>
  <c r="CS13" i="28"/>
  <c r="CP13" i="28"/>
  <c r="CM13" i="28"/>
  <c r="CJ13" i="28"/>
  <c r="CG13" i="28"/>
  <c r="CD13" i="28"/>
  <c r="CA13" i="28"/>
  <c r="BX13" i="28"/>
  <c r="BU13" i="28"/>
  <c r="BR13" i="28"/>
  <c r="BO13" i="28"/>
  <c r="BL13" i="28"/>
  <c r="BI13" i="28"/>
  <c r="BF13" i="28"/>
  <c r="BC13" i="28"/>
  <c r="AZ13" i="28"/>
  <c r="AW13" i="28"/>
  <c r="AT13" i="28"/>
  <c r="AQ13" i="28"/>
  <c r="AN13" i="28"/>
  <c r="AK13" i="28"/>
  <c r="AH13" i="28"/>
  <c r="AE13" i="28"/>
  <c r="AB13" i="28"/>
  <c r="Y13" i="28"/>
  <c r="V13" i="28"/>
  <c r="S13" i="28"/>
  <c r="P13" i="28"/>
  <c r="M13" i="28"/>
  <c r="J13" i="28"/>
  <c r="G13" i="28"/>
  <c r="D13" i="28"/>
  <c r="A13" i="28"/>
  <c r="CV12" i="28"/>
  <c r="CS12" i="28"/>
  <c r="CP12" i="28"/>
  <c r="CM12" i="28"/>
  <c r="CJ12" i="28"/>
  <c r="CG12" i="28"/>
  <c r="CD12" i="28"/>
  <c r="CA12" i="28"/>
  <c r="BX12" i="28"/>
  <c r="BU12" i="28"/>
  <c r="BR12" i="28"/>
  <c r="BO12" i="28"/>
  <c r="BL12" i="28"/>
  <c r="BI12" i="28"/>
  <c r="BF12" i="28"/>
  <c r="BC12" i="28"/>
  <c r="AZ12" i="28"/>
  <c r="AW12" i="28"/>
  <c r="AT12" i="28"/>
  <c r="AQ12" i="28"/>
  <c r="AN12" i="28"/>
  <c r="AK12" i="28"/>
  <c r="AH12" i="28"/>
  <c r="AE12" i="28"/>
  <c r="AB12" i="28"/>
  <c r="Y12" i="28"/>
  <c r="V12" i="28"/>
  <c r="S12" i="28"/>
  <c r="P12" i="28"/>
  <c r="M12" i="28"/>
  <c r="J12" i="28"/>
  <c r="G12" i="28"/>
  <c r="D12" i="28"/>
  <c r="A12" i="28"/>
  <c r="CV11" i="28"/>
  <c r="CS11" i="28"/>
  <c r="CP11" i="28"/>
  <c r="CM11" i="28"/>
  <c r="CJ11" i="28"/>
  <c r="CG11" i="28"/>
  <c r="CD11" i="28"/>
  <c r="CA11" i="28"/>
  <c r="BX11" i="28"/>
  <c r="BU11" i="28"/>
  <c r="BR11" i="28"/>
  <c r="BO11" i="28"/>
  <c r="BL11" i="28"/>
  <c r="BI11" i="28"/>
  <c r="BF11" i="28"/>
  <c r="BC11" i="28"/>
  <c r="AZ11" i="28"/>
  <c r="AW11" i="28"/>
  <c r="AT11" i="28"/>
  <c r="AQ11" i="28"/>
  <c r="AN11" i="28"/>
  <c r="AK11" i="28"/>
  <c r="AH11" i="28"/>
  <c r="AE11" i="28"/>
  <c r="AB11" i="28"/>
  <c r="Y11" i="28"/>
  <c r="V11" i="28"/>
  <c r="S11" i="28"/>
  <c r="P11" i="28"/>
  <c r="M11" i="28"/>
  <c r="J11" i="28"/>
  <c r="G11" i="28"/>
  <c r="D11" i="28"/>
  <c r="A11" i="28"/>
  <c r="CV10" i="28"/>
  <c r="CS10" i="28"/>
  <c r="CP10" i="28"/>
  <c r="CM10" i="28"/>
  <c r="CJ10" i="28"/>
  <c r="CG10" i="28"/>
  <c r="CD10" i="28"/>
  <c r="CA10" i="28"/>
  <c r="BX10" i="28"/>
  <c r="BU10" i="28"/>
  <c r="BR10" i="28"/>
  <c r="BO10" i="28"/>
  <c r="BL10" i="28"/>
  <c r="BI10" i="28"/>
  <c r="BF10" i="28"/>
  <c r="BC10" i="28"/>
  <c r="AZ10" i="28"/>
  <c r="AW10" i="28"/>
  <c r="AT10" i="28"/>
  <c r="AQ10" i="28"/>
  <c r="AN10" i="28"/>
  <c r="AK10" i="28"/>
  <c r="AH10" i="28"/>
  <c r="AE10" i="28"/>
  <c r="AB10" i="28"/>
  <c r="Y10" i="28"/>
  <c r="V10" i="28"/>
  <c r="S10" i="28"/>
  <c r="P10" i="28"/>
  <c r="M10" i="28"/>
  <c r="J10" i="28"/>
  <c r="G10" i="28"/>
  <c r="D10" i="28"/>
  <c r="A10" i="28"/>
  <c r="CV9" i="28"/>
  <c r="CS9" i="28"/>
  <c r="CP9" i="28"/>
  <c r="CM9" i="28"/>
  <c r="CJ9" i="28"/>
  <c r="CG9" i="28"/>
  <c r="CD9" i="28"/>
  <c r="CA9" i="28"/>
  <c r="BX9" i="28"/>
  <c r="BU9" i="28"/>
  <c r="BR9" i="28"/>
  <c r="BO9" i="28"/>
  <c r="BL9" i="28"/>
  <c r="BI9" i="28"/>
  <c r="BF9" i="28"/>
  <c r="BC9" i="28"/>
  <c r="AZ9" i="28"/>
  <c r="AW9" i="28"/>
  <c r="AT9" i="28"/>
  <c r="AQ9" i="28"/>
  <c r="AN9" i="28"/>
  <c r="AK9" i="28"/>
  <c r="AH9" i="28"/>
  <c r="AE9" i="28"/>
  <c r="AB9" i="28"/>
  <c r="Y9" i="28"/>
  <c r="V9" i="28"/>
  <c r="S9" i="28"/>
  <c r="P9" i="28"/>
  <c r="M9" i="28"/>
  <c r="J9" i="28"/>
  <c r="G9" i="28"/>
  <c r="D9" i="28"/>
  <c r="A9" i="28"/>
  <c r="CV8" i="28"/>
  <c r="CS8" i="28"/>
  <c r="CP8" i="28"/>
  <c r="CM8" i="28"/>
  <c r="CJ8" i="28"/>
  <c r="CG8" i="28"/>
  <c r="CD8" i="28"/>
  <c r="CA8" i="28"/>
  <c r="BX8" i="28"/>
  <c r="BU8" i="28"/>
  <c r="BR8" i="28"/>
  <c r="BO8" i="28"/>
  <c r="BL8" i="28"/>
  <c r="BI8" i="28"/>
  <c r="BF8" i="28"/>
  <c r="BC8" i="28"/>
  <c r="AZ8" i="28"/>
  <c r="AW8" i="28"/>
  <c r="AT8" i="28"/>
  <c r="AQ8" i="28"/>
  <c r="AN8" i="28"/>
  <c r="AK8" i="28"/>
  <c r="AH8" i="28"/>
  <c r="AE8" i="28"/>
  <c r="AB8" i="28"/>
  <c r="Y8" i="28"/>
  <c r="V8" i="28"/>
  <c r="S8" i="28"/>
  <c r="P8" i="28"/>
  <c r="M8" i="28"/>
  <c r="J8" i="28"/>
  <c r="G8" i="28"/>
  <c r="D8" i="28"/>
  <c r="A8" i="28"/>
  <c r="CV7" i="28"/>
  <c r="CS7" i="28"/>
  <c r="CP7" i="28"/>
  <c r="CM7" i="28"/>
  <c r="CJ7" i="28"/>
  <c r="CG7" i="28"/>
  <c r="CD7" i="28"/>
  <c r="CA7" i="28"/>
  <c r="BX7" i="28"/>
  <c r="BU7" i="28"/>
  <c r="BR7" i="28"/>
  <c r="BO7" i="28"/>
  <c r="BL7" i="28"/>
  <c r="BI7" i="28"/>
  <c r="BF7" i="28"/>
  <c r="BC7" i="28"/>
  <c r="AZ7" i="28"/>
  <c r="AW7" i="28"/>
  <c r="AT7" i="28"/>
  <c r="AQ7" i="28"/>
  <c r="AN7" i="28"/>
  <c r="AK7" i="28"/>
  <c r="AH7" i="28"/>
  <c r="AE7" i="28"/>
  <c r="AB7" i="28"/>
  <c r="Y7" i="28"/>
  <c r="V7" i="28"/>
  <c r="S7" i="28"/>
  <c r="P7" i="28"/>
  <c r="M7" i="28"/>
  <c r="J7" i="28"/>
  <c r="G7" i="28"/>
  <c r="D7" i="28"/>
  <c r="A7" i="28"/>
  <c r="CV6" i="28"/>
  <c r="CS6" i="28"/>
  <c r="CP6" i="28"/>
  <c r="CM6" i="28"/>
  <c r="CJ6" i="28"/>
  <c r="CG6" i="28"/>
  <c r="CD6" i="28"/>
  <c r="CA6" i="28"/>
  <c r="BX6" i="28"/>
  <c r="BU6" i="28"/>
  <c r="BR6" i="28"/>
  <c r="BO6" i="28"/>
  <c r="BL6" i="28"/>
  <c r="BI6" i="28"/>
  <c r="BF6" i="28"/>
  <c r="BC6" i="28"/>
  <c r="AZ6" i="28"/>
  <c r="AW6" i="28"/>
  <c r="AT6" i="28"/>
  <c r="AQ6" i="28"/>
  <c r="AN6" i="28"/>
  <c r="AK6" i="28"/>
  <c r="AH6" i="28"/>
  <c r="AE6" i="28"/>
  <c r="AB6" i="28"/>
  <c r="Y6" i="28"/>
  <c r="V6" i="28"/>
  <c r="S6" i="28"/>
  <c r="P6" i="28"/>
  <c r="M6" i="28"/>
  <c r="J6" i="28"/>
  <c r="G6" i="28"/>
  <c r="D6" i="28"/>
  <c r="A6" i="28"/>
  <c r="CV5" i="28"/>
  <c r="CS5" i="28"/>
  <c r="CP5" i="28"/>
  <c r="CM5" i="28"/>
  <c r="CJ5" i="28"/>
  <c r="CG5" i="28"/>
  <c r="CD5" i="28"/>
  <c r="CA5" i="28"/>
  <c r="BX5" i="28"/>
  <c r="BU5" i="28"/>
  <c r="BR5" i="28"/>
  <c r="BO5" i="28"/>
  <c r="BL5" i="28"/>
  <c r="BI5" i="28"/>
  <c r="BF5" i="28"/>
  <c r="BC5" i="28"/>
  <c r="AZ5" i="28"/>
  <c r="AW5" i="28"/>
  <c r="AT5" i="28"/>
  <c r="AQ5" i="28"/>
  <c r="AN5" i="28"/>
  <c r="AK5" i="28"/>
  <c r="AH5" i="28"/>
  <c r="AE5" i="28"/>
  <c r="AB5" i="28"/>
  <c r="Y5" i="28"/>
  <c r="V5" i="28"/>
  <c r="S5" i="28"/>
  <c r="P5" i="28"/>
  <c r="M5" i="28"/>
  <c r="J5" i="28"/>
  <c r="G5" i="28"/>
  <c r="D5" i="28"/>
  <c r="A5" i="28"/>
  <c r="CV4" i="28"/>
  <c r="CS4" i="28"/>
  <c r="CP4" i="28"/>
  <c r="CM4" i="28"/>
  <c r="CJ4" i="28"/>
  <c r="CG4" i="28"/>
  <c r="CD4" i="28"/>
  <c r="CA4" i="28"/>
  <c r="BX4" i="28"/>
  <c r="BU4" i="28"/>
  <c r="BR4" i="28"/>
  <c r="BO4" i="28"/>
  <c r="BL4" i="28"/>
  <c r="BI4" i="28"/>
  <c r="BF4" i="28"/>
  <c r="BC4" i="28"/>
  <c r="AZ4" i="28"/>
  <c r="AW4" i="28"/>
  <c r="AT4" i="28"/>
  <c r="AQ4" i="28"/>
  <c r="AN4" i="28"/>
  <c r="AK4" i="28"/>
  <c r="AH4" i="28"/>
  <c r="AE4" i="28"/>
  <c r="AB4" i="28"/>
  <c r="Y4" i="28"/>
  <c r="V4" i="28"/>
  <c r="S4" i="28"/>
  <c r="P4" i="28"/>
  <c r="M4" i="28"/>
  <c r="J4" i="28"/>
  <c r="G4" i="28"/>
  <c r="D4" i="28"/>
  <c r="A4" i="28"/>
  <c r="AW25" i="6"/>
  <c r="AW25" i="17"/>
  <c r="AW25" i="18"/>
  <c r="AW25" i="19"/>
  <c r="AW25" i="20"/>
  <c r="AW25" i="21"/>
  <c r="AW25" i="22"/>
  <c r="AW25" i="23"/>
  <c r="AW25" i="24"/>
  <c r="AW25" i="25"/>
  <c r="AW25" i="26"/>
  <c r="AW25" i="27"/>
  <c r="AW37" i="6"/>
  <c r="AW37" i="17"/>
  <c r="AW37" i="18"/>
  <c r="AW37" i="19"/>
  <c r="AW37" i="20"/>
  <c r="AW37" i="21"/>
  <c r="AW37" i="22"/>
  <c r="AW37" i="23"/>
  <c r="AW37" i="24"/>
  <c r="AW37" i="25"/>
  <c r="AW37" i="26"/>
  <c r="AW37" i="27"/>
  <c r="AW11" i="27"/>
  <c r="AW11" i="26"/>
  <c r="AW11" i="25"/>
  <c r="AW11" i="24"/>
  <c r="AW11" i="23"/>
  <c r="AW11" i="22"/>
  <c r="AW11" i="21"/>
  <c r="AW11" i="20"/>
  <c r="AW11" i="19"/>
  <c r="AW11" i="18"/>
  <c r="AW11" i="17"/>
  <c r="AW11" i="6"/>
  <c r="BH70" i="2"/>
  <c r="BF70" i="2"/>
  <c r="BE70" i="2"/>
  <c r="BC70" i="2"/>
  <c r="BB70" i="2"/>
  <c r="AZ70" i="2"/>
  <c r="AY70" i="2"/>
  <c r="AW70" i="2"/>
  <c r="BF69" i="2"/>
  <c r="BC69" i="2"/>
  <c r="AZ69" i="2"/>
  <c r="AW69" i="2"/>
  <c r="X69" i="2"/>
  <c r="V69" i="2"/>
  <c r="U69" i="2"/>
  <c r="S69" i="2"/>
  <c r="BF68" i="2"/>
  <c r="BC68" i="2"/>
  <c r="AZ68" i="2"/>
  <c r="AW68" i="2"/>
  <c r="V68" i="2"/>
  <c r="S68" i="2"/>
  <c r="BF67" i="2"/>
  <c r="BC67" i="2"/>
  <c r="AZ67" i="2"/>
  <c r="AW67" i="2"/>
  <c r="V67" i="2"/>
  <c r="S67" i="2"/>
  <c r="BF66" i="2"/>
  <c r="BC66" i="2"/>
  <c r="AZ66" i="2"/>
  <c r="AW66" i="2"/>
  <c r="AV66" i="2"/>
  <c r="AT66" i="2"/>
  <c r="AS66" i="2"/>
  <c r="AQ66" i="2"/>
  <c r="AN66" i="2"/>
  <c r="AK66" i="2"/>
  <c r="AJ66" i="2"/>
  <c r="AH66" i="2"/>
  <c r="AG66" i="2"/>
  <c r="AE66" i="2"/>
  <c r="AD66" i="2"/>
  <c r="AB66" i="2"/>
  <c r="AA66" i="2"/>
  <c r="Y66" i="2"/>
  <c r="V66" i="2"/>
  <c r="S66" i="2"/>
  <c r="P66" i="2"/>
  <c r="M66" i="2"/>
  <c r="L66" i="2"/>
  <c r="J66" i="2"/>
  <c r="I66" i="2"/>
  <c r="G66" i="2"/>
  <c r="F66" i="2"/>
  <c r="D66" i="2"/>
  <c r="C66" i="2"/>
  <c r="A66" i="2"/>
  <c r="BF65" i="2"/>
  <c r="BC65" i="2"/>
  <c r="AZ65" i="2"/>
  <c r="AW65" i="2"/>
  <c r="AV65" i="2"/>
  <c r="AT65" i="2"/>
  <c r="AQ65" i="2"/>
  <c r="AP65" i="2"/>
  <c r="AP66" i="2" s="1"/>
  <c r="AN65" i="2"/>
  <c r="AM65" i="2"/>
  <c r="AM66" i="2"/>
  <c r="AK65" i="2"/>
  <c r="AH65" i="2"/>
  <c r="AE65" i="2"/>
  <c r="AB65" i="2"/>
  <c r="Y65" i="2"/>
  <c r="V65" i="2"/>
  <c r="S65" i="2"/>
  <c r="R65" i="2"/>
  <c r="R66" i="2" s="1"/>
  <c r="P65" i="2"/>
  <c r="O65" i="2"/>
  <c r="O66" i="2" s="1"/>
  <c r="M65" i="2"/>
  <c r="J65" i="2"/>
  <c r="G65" i="2"/>
  <c r="D65" i="2"/>
  <c r="A65" i="2"/>
  <c r="BF64" i="2"/>
  <c r="BC64" i="2"/>
  <c r="AZ64" i="2"/>
  <c r="AW64" i="2"/>
  <c r="AT64" i="2"/>
  <c r="AQ64" i="2"/>
  <c r="AN64" i="2"/>
  <c r="AK64" i="2"/>
  <c r="AH64" i="2"/>
  <c r="AE64" i="2"/>
  <c r="AB64" i="2"/>
  <c r="Y64" i="2"/>
  <c r="V64" i="2"/>
  <c r="S64" i="2"/>
  <c r="P64" i="2"/>
  <c r="M64" i="2"/>
  <c r="J64" i="2"/>
  <c r="G64" i="2"/>
  <c r="D64" i="2"/>
  <c r="A64" i="2"/>
  <c r="BF63" i="2"/>
  <c r="BC63" i="2"/>
  <c r="AZ63" i="2"/>
  <c r="AW63" i="2"/>
  <c r="AT63" i="2"/>
  <c r="AQ63" i="2"/>
  <c r="AN63" i="2"/>
  <c r="AK63" i="2"/>
  <c r="AH63" i="2"/>
  <c r="AE63" i="2"/>
  <c r="AB63" i="2"/>
  <c r="Y63" i="2"/>
  <c r="V63" i="2"/>
  <c r="S63" i="2"/>
  <c r="P63" i="2"/>
  <c r="M63" i="2"/>
  <c r="J63" i="2"/>
  <c r="G63" i="2"/>
  <c r="D63" i="2"/>
  <c r="A63" i="2"/>
  <c r="BF62" i="2"/>
  <c r="BC62" i="2"/>
  <c r="AZ62" i="2"/>
  <c r="AW62" i="2"/>
  <c r="AT62" i="2"/>
  <c r="AQ62" i="2"/>
  <c r="AN62" i="2"/>
  <c r="AK62" i="2"/>
  <c r="AH62" i="2"/>
  <c r="AE62" i="2"/>
  <c r="AB62" i="2"/>
  <c r="Y62" i="2"/>
  <c r="V62" i="2"/>
  <c r="S62" i="2"/>
  <c r="P62" i="2"/>
  <c r="M62" i="2"/>
  <c r="J62" i="2"/>
  <c r="G62" i="2"/>
  <c r="D62" i="2"/>
  <c r="A62" i="2"/>
  <c r="BF61" i="2"/>
  <c r="BC61" i="2"/>
  <c r="AZ61" i="2"/>
  <c r="AW61" i="2"/>
  <c r="AT61" i="2"/>
  <c r="AQ61" i="2"/>
  <c r="AN61" i="2"/>
  <c r="AK61" i="2"/>
  <c r="AH61" i="2"/>
  <c r="AE61" i="2"/>
  <c r="AB61" i="2"/>
  <c r="Y61" i="2"/>
  <c r="V61" i="2"/>
  <c r="S61" i="2"/>
  <c r="P61" i="2"/>
  <c r="M61" i="2"/>
  <c r="J61" i="2"/>
  <c r="G61" i="2"/>
  <c r="D61" i="2"/>
  <c r="A61" i="2"/>
  <c r="BF60" i="2"/>
  <c r="BC60" i="2"/>
  <c r="AZ60" i="2"/>
  <c r="AW60" i="2"/>
  <c r="AT60" i="2"/>
  <c r="AQ60" i="2"/>
  <c r="AN60" i="2"/>
  <c r="AK60" i="2"/>
  <c r="AH60" i="2"/>
  <c r="AE60" i="2"/>
  <c r="AB60" i="2"/>
  <c r="Y60" i="2"/>
  <c r="V60" i="2"/>
  <c r="S60" i="2"/>
  <c r="P60" i="2"/>
  <c r="M60" i="2"/>
  <c r="J60" i="2"/>
  <c r="G60" i="2"/>
  <c r="D60" i="2"/>
  <c r="A60" i="2"/>
  <c r="BF59" i="2"/>
  <c r="BC59" i="2"/>
  <c r="AZ59" i="2"/>
  <c r="AW59" i="2"/>
  <c r="AT59" i="2"/>
  <c r="AQ59" i="2"/>
  <c r="AN59" i="2"/>
  <c r="AK59" i="2"/>
  <c r="AH59" i="2"/>
  <c r="AE59" i="2"/>
  <c r="AB59" i="2"/>
  <c r="Y59" i="2"/>
  <c r="V59" i="2"/>
  <c r="S59" i="2"/>
  <c r="P59" i="2"/>
  <c r="M59" i="2"/>
  <c r="J59" i="2"/>
  <c r="G59" i="2"/>
  <c r="D59" i="2"/>
  <c r="A59" i="2"/>
  <c r="BF58" i="2"/>
  <c r="BC58" i="2"/>
  <c r="AZ58" i="2"/>
  <c r="AW58" i="2"/>
  <c r="AT58" i="2"/>
  <c r="AQ58" i="2"/>
  <c r="AN58" i="2"/>
  <c r="AK58" i="2"/>
  <c r="AH58" i="2"/>
  <c r="AE58" i="2"/>
  <c r="AB58" i="2"/>
  <c r="Y58" i="2"/>
  <c r="V58" i="2"/>
  <c r="S58" i="2"/>
  <c r="P58" i="2"/>
  <c r="M58" i="2"/>
  <c r="J58" i="2"/>
  <c r="G58" i="2"/>
  <c r="D58" i="2"/>
  <c r="A58" i="2"/>
  <c r="BF57" i="2"/>
  <c r="BC57" i="2"/>
  <c r="AZ57" i="2"/>
  <c r="AW57" i="2"/>
  <c r="AT57" i="2"/>
  <c r="AQ57" i="2"/>
  <c r="AN57" i="2"/>
  <c r="AK57" i="2"/>
  <c r="AH57" i="2"/>
  <c r="AE57" i="2"/>
  <c r="AB57" i="2"/>
  <c r="Y57" i="2"/>
  <c r="V57" i="2"/>
  <c r="S57" i="2"/>
  <c r="P57" i="2"/>
  <c r="M57" i="2"/>
  <c r="J57" i="2"/>
  <c r="G57" i="2"/>
  <c r="D57" i="2"/>
  <c r="A57" i="2"/>
  <c r="BF56" i="2"/>
  <c r="BC56" i="2"/>
  <c r="AZ56" i="2"/>
  <c r="AW56" i="2"/>
  <c r="AT56" i="2"/>
  <c r="AQ56" i="2"/>
  <c r="AN56" i="2"/>
  <c r="AK56" i="2"/>
  <c r="AH56" i="2"/>
  <c r="AE56" i="2"/>
  <c r="AB56" i="2"/>
  <c r="Y56" i="2"/>
  <c r="V56" i="2"/>
  <c r="S56" i="2"/>
  <c r="P56" i="2"/>
  <c r="M56" i="2"/>
  <c r="J56" i="2"/>
  <c r="G56" i="2"/>
  <c r="D56" i="2"/>
  <c r="A56" i="2"/>
  <c r="BF55" i="2"/>
  <c r="BC55" i="2"/>
  <c r="AZ55" i="2"/>
  <c r="AW55" i="2"/>
  <c r="AT55" i="2"/>
  <c r="AQ55" i="2"/>
  <c r="AN55" i="2"/>
  <c r="AK55" i="2"/>
  <c r="AH55" i="2"/>
  <c r="AE55" i="2"/>
  <c r="AB55" i="2"/>
  <c r="Y55" i="2"/>
  <c r="V55" i="2"/>
  <c r="S55" i="2"/>
  <c r="P55" i="2"/>
  <c r="M55" i="2"/>
  <c r="J55" i="2"/>
  <c r="G55" i="2"/>
  <c r="D55" i="2"/>
  <c r="A55" i="2"/>
  <c r="BF54" i="2"/>
  <c r="BC54" i="2"/>
  <c r="AZ54" i="2"/>
  <c r="AW54" i="2"/>
  <c r="AT54" i="2"/>
  <c r="AQ54" i="2"/>
  <c r="AN54" i="2"/>
  <c r="AK54" i="2"/>
  <c r="AH54" i="2"/>
  <c r="AE54" i="2"/>
  <c r="AB54" i="2"/>
  <c r="Y54" i="2"/>
  <c r="V54" i="2"/>
  <c r="S54" i="2"/>
  <c r="P54" i="2"/>
  <c r="M54" i="2"/>
  <c r="J54" i="2"/>
  <c r="G54" i="2"/>
  <c r="D54" i="2"/>
  <c r="A54" i="2"/>
  <c r="BF53" i="2"/>
  <c r="BC53" i="2"/>
  <c r="AZ53" i="2"/>
  <c r="AW53" i="2"/>
  <c r="AT53" i="2"/>
  <c r="AQ53" i="2"/>
  <c r="AN53" i="2"/>
  <c r="AK53" i="2"/>
  <c r="AH53" i="2"/>
  <c r="AE53" i="2"/>
  <c r="AB53" i="2"/>
  <c r="Y53" i="2"/>
  <c r="V53" i="2"/>
  <c r="S53" i="2"/>
  <c r="P53" i="2"/>
  <c r="M53" i="2"/>
  <c r="J53" i="2"/>
  <c r="G53" i="2"/>
  <c r="D53" i="2"/>
  <c r="A53" i="2"/>
  <c r="BF52" i="2"/>
  <c r="BC52" i="2"/>
  <c r="AZ52" i="2"/>
  <c r="AW52" i="2"/>
  <c r="AT52" i="2"/>
  <c r="AQ52" i="2"/>
  <c r="AN52" i="2"/>
  <c r="AK52" i="2"/>
  <c r="AH52" i="2"/>
  <c r="AE52" i="2"/>
  <c r="AB52" i="2"/>
  <c r="Y52" i="2"/>
  <c r="V52" i="2"/>
  <c r="S52" i="2"/>
  <c r="P52" i="2"/>
  <c r="M52" i="2"/>
  <c r="J52" i="2"/>
  <c r="G52" i="2"/>
  <c r="D52" i="2"/>
  <c r="A52" i="2"/>
  <c r="BF51" i="2"/>
  <c r="BC51" i="2"/>
  <c r="AZ51" i="2"/>
  <c r="AW51" i="2"/>
  <c r="AT51" i="2"/>
  <c r="AQ51" i="2"/>
  <c r="AN51" i="2"/>
  <c r="AK51" i="2"/>
  <c r="AH51" i="2"/>
  <c r="AE51" i="2"/>
  <c r="AB51" i="2"/>
  <c r="Y51" i="2"/>
  <c r="V51" i="2"/>
  <c r="S51" i="2"/>
  <c r="P51" i="2"/>
  <c r="M51" i="2"/>
  <c r="J51" i="2"/>
  <c r="G51" i="2"/>
  <c r="D51" i="2"/>
  <c r="A51" i="2"/>
  <c r="BF50" i="2"/>
  <c r="BC50" i="2"/>
  <c r="AZ50" i="2"/>
  <c r="AW50" i="2"/>
  <c r="AT50" i="2"/>
  <c r="AQ50" i="2"/>
  <c r="AN50" i="2"/>
  <c r="AK50" i="2"/>
  <c r="AH50" i="2"/>
  <c r="AE50" i="2"/>
  <c r="AB50" i="2"/>
  <c r="Y50" i="2"/>
  <c r="V50" i="2"/>
  <c r="S50" i="2"/>
  <c r="P50" i="2"/>
  <c r="M50" i="2"/>
  <c r="J50" i="2"/>
  <c r="G50" i="2"/>
  <c r="D50" i="2"/>
  <c r="A50" i="2"/>
  <c r="BF49" i="2"/>
  <c r="BC49" i="2"/>
  <c r="AZ49" i="2"/>
  <c r="AW49" i="2"/>
  <c r="AT49" i="2"/>
  <c r="AQ49" i="2"/>
  <c r="AN49" i="2"/>
  <c r="AK49" i="2"/>
  <c r="AH49" i="2"/>
  <c r="AE49" i="2"/>
  <c r="AB49" i="2"/>
  <c r="Y49" i="2"/>
  <c r="V49" i="2"/>
  <c r="S49" i="2"/>
  <c r="P49" i="2"/>
  <c r="M49" i="2"/>
  <c r="J49" i="2"/>
  <c r="G49" i="2"/>
  <c r="D49" i="2"/>
  <c r="A49" i="2"/>
  <c r="BF48" i="2"/>
  <c r="BC48" i="2"/>
  <c r="AZ48" i="2"/>
  <c r="AW48" i="2"/>
  <c r="AT48" i="2"/>
  <c r="AQ48" i="2"/>
  <c r="AN48" i="2"/>
  <c r="AK48" i="2"/>
  <c r="AH48" i="2"/>
  <c r="AE48" i="2"/>
  <c r="AB48" i="2"/>
  <c r="Y48" i="2"/>
  <c r="V48" i="2"/>
  <c r="S48" i="2"/>
  <c r="P48" i="2"/>
  <c r="M48" i="2"/>
  <c r="J48" i="2"/>
  <c r="G48" i="2"/>
  <c r="D48" i="2"/>
  <c r="A48" i="2"/>
  <c r="BF47" i="2"/>
  <c r="BC47" i="2"/>
  <c r="AZ47" i="2"/>
  <c r="AW47" i="2"/>
  <c r="AT47" i="2"/>
  <c r="AQ47" i="2"/>
  <c r="AN47" i="2"/>
  <c r="AK47" i="2"/>
  <c r="AH47" i="2"/>
  <c r="AE47" i="2"/>
  <c r="AB47" i="2"/>
  <c r="Y47" i="2"/>
  <c r="V47" i="2"/>
  <c r="S47" i="2"/>
  <c r="P47" i="2"/>
  <c r="M47" i="2"/>
  <c r="J47" i="2"/>
  <c r="G47" i="2"/>
  <c r="D47" i="2"/>
  <c r="A47" i="2"/>
  <c r="BF46" i="2"/>
  <c r="BC46" i="2"/>
  <c r="AZ46" i="2"/>
  <c r="AW46" i="2"/>
  <c r="AT46" i="2"/>
  <c r="AQ46" i="2"/>
  <c r="AN46" i="2"/>
  <c r="AK46" i="2"/>
  <c r="AH46" i="2"/>
  <c r="AE46" i="2"/>
  <c r="AB46" i="2"/>
  <c r="Y46" i="2"/>
  <c r="V46" i="2"/>
  <c r="S46" i="2"/>
  <c r="P46" i="2"/>
  <c r="M46" i="2"/>
  <c r="J46" i="2"/>
  <c r="G46" i="2"/>
  <c r="D46" i="2"/>
  <c r="A46" i="2"/>
  <c r="BF45" i="2"/>
  <c r="BC45" i="2"/>
  <c r="AZ45" i="2"/>
  <c r="AW45" i="2"/>
  <c r="AT45" i="2"/>
  <c r="AQ45" i="2"/>
  <c r="AN45" i="2"/>
  <c r="AK45" i="2"/>
  <c r="AH45" i="2"/>
  <c r="AE45" i="2"/>
  <c r="AB45" i="2"/>
  <c r="Y45" i="2"/>
  <c r="V45" i="2"/>
  <c r="S45" i="2"/>
  <c r="P45" i="2"/>
  <c r="M45" i="2"/>
  <c r="J45" i="2"/>
  <c r="G45" i="2"/>
  <c r="D45" i="2"/>
  <c r="A45" i="2"/>
  <c r="BF44" i="2"/>
  <c r="BC44" i="2"/>
  <c r="AZ44" i="2"/>
  <c r="AW44" i="2"/>
  <c r="AT44" i="2"/>
  <c r="AQ44" i="2"/>
  <c r="AN44" i="2"/>
  <c r="AK44" i="2"/>
  <c r="AH44" i="2"/>
  <c r="AE44" i="2"/>
  <c r="AB44" i="2"/>
  <c r="Y44" i="2"/>
  <c r="V44" i="2"/>
  <c r="S44" i="2"/>
  <c r="P44" i="2"/>
  <c r="M44" i="2"/>
  <c r="J44" i="2"/>
  <c r="G44" i="2"/>
  <c r="D44" i="2"/>
  <c r="A44" i="2"/>
  <c r="BF43" i="2"/>
  <c r="BC43" i="2"/>
  <c r="AZ43" i="2"/>
  <c r="AW43" i="2"/>
  <c r="AT43" i="2"/>
  <c r="AQ43" i="2"/>
  <c r="AN43" i="2"/>
  <c r="AK43" i="2"/>
  <c r="AH43" i="2"/>
  <c r="AE43" i="2"/>
  <c r="AB43" i="2"/>
  <c r="Y43" i="2"/>
  <c r="V43" i="2"/>
  <c r="S43" i="2"/>
  <c r="P43" i="2"/>
  <c r="M43" i="2"/>
  <c r="J43" i="2"/>
  <c r="G43" i="2"/>
  <c r="D43" i="2"/>
  <c r="A43" i="2"/>
  <c r="BF42" i="2"/>
  <c r="BC42" i="2"/>
  <c r="AZ42" i="2"/>
  <c r="AW42" i="2"/>
  <c r="AT42" i="2"/>
  <c r="AQ42" i="2"/>
  <c r="AN42" i="2"/>
  <c r="AK42" i="2"/>
  <c r="AH42" i="2"/>
  <c r="AE42" i="2"/>
  <c r="AB42" i="2"/>
  <c r="Y42" i="2"/>
  <c r="V42" i="2"/>
  <c r="S42" i="2"/>
  <c r="P42" i="2"/>
  <c r="M42" i="2"/>
  <c r="J42" i="2"/>
  <c r="G42" i="2"/>
  <c r="D42" i="2"/>
  <c r="A42" i="2"/>
  <c r="BF41" i="2"/>
  <c r="BC41" i="2"/>
  <c r="AZ41" i="2"/>
  <c r="AW41" i="2"/>
  <c r="AT41" i="2"/>
  <c r="AQ41" i="2"/>
  <c r="AN41" i="2"/>
  <c r="AK41" i="2"/>
  <c r="AH41" i="2"/>
  <c r="AE41" i="2"/>
  <c r="AB41" i="2"/>
  <c r="Y41" i="2"/>
  <c r="V41" i="2"/>
  <c r="S41" i="2"/>
  <c r="P41" i="2"/>
  <c r="M41" i="2"/>
  <c r="J41" i="2"/>
  <c r="G41" i="2"/>
  <c r="D41" i="2"/>
  <c r="A41" i="2"/>
  <c r="BF40" i="2"/>
  <c r="BC40" i="2"/>
  <c r="AZ40" i="2"/>
  <c r="AW40" i="2"/>
  <c r="AT40" i="2"/>
  <c r="AQ40" i="2"/>
  <c r="AN40" i="2"/>
  <c r="AK40" i="2"/>
  <c r="AH40" i="2"/>
  <c r="AE40" i="2"/>
  <c r="AB40" i="2"/>
  <c r="Y40" i="2"/>
  <c r="V40" i="2"/>
  <c r="S40" i="2"/>
  <c r="P40" i="2"/>
  <c r="M40" i="2"/>
  <c r="J40" i="2"/>
  <c r="G40" i="2"/>
  <c r="D40" i="2"/>
  <c r="A40" i="2"/>
  <c r="BB34" i="2"/>
  <c r="AZ34" i="2"/>
  <c r="AV34" i="2"/>
  <c r="AT34" i="2"/>
  <c r="AA34" i="2"/>
  <c r="Y34" i="2"/>
  <c r="X34" i="2"/>
  <c r="V34" i="2"/>
  <c r="AZ33" i="2"/>
  <c r="AT33" i="2"/>
  <c r="Y33" i="2"/>
  <c r="V33" i="2"/>
  <c r="AZ32" i="2"/>
  <c r="AT32" i="2"/>
  <c r="Y32" i="2"/>
  <c r="V32" i="2"/>
  <c r="AZ31" i="2"/>
  <c r="AT31" i="2"/>
  <c r="Y31" i="2"/>
  <c r="V31" i="2"/>
  <c r="BN30" i="2"/>
  <c r="BL30" i="2"/>
  <c r="BK30" i="2"/>
  <c r="BI30" i="2"/>
  <c r="BH30" i="2"/>
  <c r="BF30" i="2"/>
  <c r="BE30" i="2"/>
  <c r="BC30" i="2"/>
  <c r="AZ30" i="2"/>
  <c r="AY30" i="2"/>
  <c r="AW30" i="2"/>
  <c r="AT30" i="2"/>
  <c r="AS30" i="2"/>
  <c r="AQ30" i="2"/>
  <c r="AP30" i="2"/>
  <c r="AN30" i="2"/>
  <c r="AM30" i="2"/>
  <c r="AK30" i="2"/>
  <c r="AJ30" i="2"/>
  <c r="AH30" i="2"/>
  <c r="AG30" i="2"/>
  <c r="AE30" i="2"/>
  <c r="AD30" i="2"/>
  <c r="AB30" i="2"/>
  <c r="Y30" i="2"/>
  <c r="V30" i="2"/>
  <c r="U30" i="2"/>
  <c r="S30" i="2"/>
  <c r="R30" i="2"/>
  <c r="P30" i="2"/>
  <c r="O30" i="2"/>
  <c r="M30" i="2"/>
  <c r="L30" i="2"/>
  <c r="J30" i="2"/>
  <c r="I30" i="2"/>
  <c r="G30" i="2"/>
  <c r="F30" i="2"/>
  <c r="D30" i="2"/>
  <c r="C30" i="2"/>
  <c r="A30" i="2"/>
  <c r="BL29" i="2"/>
  <c r="BI29" i="2"/>
  <c r="BF29" i="2"/>
  <c r="BC29" i="2"/>
  <c r="AZ29" i="2"/>
  <c r="AW29" i="2"/>
  <c r="AT29" i="2"/>
  <c r="AQ29" i="2"/>
  <c r="AN29" i="2"/>
  <c r="AK29" i="2"/>
  <c r="AH29" i="2"/>
  <c r="AE29" i="2"/>
  <c r="AB29" i="2"/>
  <c r="Y29" i="2"/>
  <c r="V29" i="2"/>
  <c r="S29" i="2"/>
  <c r="P29" i="2"/>
  <c r="M29" i="2"/>
  <c r="J29" i="2"/>
  <c r="G29" i="2"/>
  <c r="D29" i="2"/>
  <c r="A29" i="2"/>
  <c r="BL28" i="2"/>
  <c r="BI28" i="2"/>
  <c r="BF28" i="2"/>
  <c r="BC28" i="2"/>
  <c r="AZ28" i="2"/>
  <c r="AW28" i="2"/>
  <c r="AT28" i="2"/>
  <c r="AQ28" i="2"/>
  <c r="AN28" i="2"/>
  <c r="AK28" i="2"/>
  <c r="AH28" i="2"/>
  <c r="AE28" i="2"/>
  <c r="AB28" i="2"/>
  <c r="Y28" i="2"/>
  <c r="V28" i="2"/>
  <c r="S28" i="2"/>
  <c r="P28" i="2"/>
  <c r="M28" i="2"/>
  <c r="J28" i="2"/>
  <c r="G28" i="2"/>
  <c r="D28" i="2"/>
  <c r="A28" i="2"/>
  <c r="BL27" i="2"/>
  <c r="BI27" i="2"/>
  <c r="BF27" i="2"/>
  <c r="BC27" i="2"/>
  <c r="AZ27" i="2"/>
  <c r="AW27" i="2"/>
  <c r="AT27" i="2"/>
  <c r="AQ27" i="2"/>
  <c r="AN27" i="2"/>
  <c r="AK27" i="2"/>
  <c r="AH27" i="2"/>
  <c r="AE27" i="2"/>
  <c r="AB27" i="2"/>
  <c r="Y27" i="2"/>
  <c r="V27" i="2"/>
  <c r="S27" i="2"/>
  <c r="P27" i="2"/>
  <c r="M27" i="2"/>
  <c r="J27" i="2"/>
  <c r="G27" i="2"/>
  <c r="D27" i="2"/>
  <c r="A27" i="2"/>
  <c r="BL26" i="2"/>
  <c r="BI26" i="2"/>
  <c r="BF26" i="2"/>
  <c r="BC26" i="2"/>
  <c r="AZ26" i="2"/>
  <c r="AW26" i="2"/>
  <c r="AT26" i="2"/>
  <c r="AQ26" i="2"/>
  <c r="AN26" i="2"/>
  <c r="AK26" i="2"/>
  <c r="AH26" i="2"/>
  <c r="AE26" i="2"/>
  <c r="AB26" i="2"/>
  <c r="Y26" i="2"/>
  <c r="V26" i="2"/>
  <c r="S26" i="2"/>
  <c r="P26" i="2"/>
  <c r="M26" i="2"/>
  <c r="J26" i="2"/>
  <c r="G26" i="2"/>
  <c r="D26" i="2"/>
  <c r="A26" i="2"/>
  <c r="BL25" i="2"/>
  <c r="BI25" i="2"/>
  <c r="BF25" i="2"/>
  <c r="BC25" i="2"/>
  <c r="AZ25" i="2"/>
  <c r="AW25" i="2"/>
  <c r="AT25" i="2"/>
  <c r="AQ25" i="2"/>
  <c r="AN25" i="2"/>
  <c r="AK25" i="2"/>
  <c r="AH25" i="2"/>
  <c r="AE25" i="2"/>
  <c r="AB25" i="2"/>
  <c r="Y25" i="2"/>
  <c r="V25" i="2"/>
  <c r="S25" i="2"/>
  <c r="P25" i="2"/>
  <c r="M25" i="2"/>
  <c r="J25" i="2"/>
  <c r="G25" i="2"/>
  <c r="D25" i="2"/>
  <c r="A25" i="2"/>
  <c r="BL24" i="2"/>
  <c r="BI24" i="2"/>
  <c r="BF24" i="2"/>
  <c r="BC24" i="2"/>
  <c r="AZ24" i="2"/>
  <c r="AW24" i="2"/>
  <c r="AT24" i="2"/>
  <c r="AQ24" i="2"/>
  <c r="AN24" i="2"/>
  <c r="AK24" i="2"/>
  <c r="AH24" i="2"/>
  <c r="AE24" i="2"/>
  <c r="AB24" i="2"/>
  <c r="Y24" i="2"/>
  <c r="V24" i="2"/>
  <c r="S24" i="2"/>
  <c r="P24" i="2"/>
  <c r="M24" i="2"/>
  <c r="J24" i="2"/>
  <c r="G24" i="2"/>
  <c r="D24" i="2"/>
  <c r="A24" i="2"/>
  <c r="BL23" i="2"/>
  <c r="BI23" i="2"/>
  <c r="BF23" i="2"/>
  <c r="BC23" i="2"/>
  <c r="AZ23" i="2"/>
  <c r="AW23" i="2"/>
  <c r="AT23" i="2"/>
  <c r="AQ23" i="2"/>
  <c r="AN23" i="2"/>
  <c r="AK23" i="2"/>
  <c r="AH23" i="2"/>
  <c r="AE23" i="2"/>
  <c r="AB23" i="2"/>
  <c r="Y23" i="2"/>
  <c r="V23" i="2"/>
  <c r="S23" i="2"/>
  <c r="P23" i="2"/>
  <c r="M23" i="2"/>
  <c r="J23" i="2"/>
  <c r="G23" i="2"/>
  <c r="D23" i="2"/>
  <c r="A23" i="2"/>
  <c r="BL22" i="2"/>
  <c r="BI22" i="2"/>
  <c r="BF22" i="2"/>
  <c r="BC22" i="2"/>
  <c r="AZ22" i="2"/>
  <c r="AW22" i="2"/>
  <c r="AT22" i="2"/>
  <c r="AQ22" i="2"/>
  <c r="AN22" i="2"/>
  <c r="AK22" i="2"/>
  <c r="AH22" i="2"/>
  <c r="AE22" i="2"/>
  <c r="AB22" i="2"/>
  <c r="Y22" i="2"/>
  <c r="V22" i="2"/>
  <c r="S22" i="2"/>
  <c r="P22" i="2"/>
  <c r="M22" i="2"/>
  <c r="J22" i="2"/>
  <c r="G22" i="2"/>
  <c r="D22" i="2"/>
  <c r="A22" i="2"/>
  <c r="BL21" i="2"/>
  <c r="BI21" i="2"/>
  <c r="BF21" i="2"/>
  <c r="BC21" i="2"/>
  <c r="AZ21" i="2"/>
  <c r="AW21" i="2"/>
  <c r="AT21" i="2"/>
  <c r="AQ21" i="2"/>
  <c r="AN21" i="2"/>
  <c r="AK21" i="2"/>
  <c r="AH21" i="2"/>
  <c r="AE21" i="2"/>
  <c r="AB21" i="2"/>
  <c r="Y21" i="2"/>
  <c r="V21" i="2"/>
  <c r="S21" i="2"/>
  <c r="P21" i="2"/>
  <c r="M21" i="2"/>
  <c r="J21" i="2"/>
  <c r="G21" i="2"/>
  <c r="D21" i="2"/>
  <c r="A21" i="2"/>
  <c r="BL20" i="2"/>
  <c r="BI20" i="2"/>
  <c r="BF20" i="2"/>
  <c r="BC20" i="2"/>
  <c r="AZ20" i="2"/>
  <c r="AW20" i="2"/>
  <c r="AT20" i="2"/>
  <c r="AQ20" i="2"/>
  <c r="AN20" i="2"/>
  <c r="AK20" i="2"/>
  <c r="AH20" i="2"/>
  <c r="AE20" i="2"/>
  <c r="AB20" i="2"/>
  <c r="Y20" i="2"/>
  <c r="V20" i="2"/>
  <c r="S20" i="2"/>
  <c r="P20" i="2"/>
  <c r="M20" i="2"/>
  <c r="J20" i="2"/>
  <c r="G20" i="2"/>
  <c r="D20" i="2"/>
  <c r="A20" i="2"/>
  <c r="BL19" i="2"/>
  <c r="BI19" i="2"/>
  <c r="BF19" i="2"/>
  <c r="BC19" i="2"/>
  <c r="AZ19" i="2"/>
  <c r="AW19" i="2"/>
  <c r="AT19" i="2"/>
  <c r="AQ19" i="2"/>
  <c r="AN19" i="2"/>
  <c r="AK19" i="2"/>
  <c r="AH19" i="2"/>
  <c r="AE19" i="2"/>
  <c r="AB19" i="2"/>
  <c r="Y19" i="2"/>
  <c r="V19" i="2"/>
  <c r="S19" i="2"/>
  <c r="P19" i="2"/>
  <c r="M19" i="2"/>
  <c r="J19" i="2"/>
  <c r="G19" i="2"/>
  <c r="D19" i="2"/>
  <c r="A19" i="2"/>
  <c r="BL18" i="2"/>
  <c r="BI18" i="2"/>
  <c r="BF18" i="2"/>
  <c r="BC18" i="2"/>
  <c r="AZ18" i="2"/>
  <c r="AW18" i="2"/>
  <c r="AT18" i="2"/>
  <c r="AQ18" i="2"/>
  <c r="AN18" i="2"/>
  <c r="AK18" i="2"/>
  <c r="AH18" i="2"/>
  <c r="AE18" i="2"/>
  <c r="AB18" i="2"/>
  <c r="Y18" i="2"/>
  <c r="V18" i="2"/>
  <c r="S18" i="2"/>
  <c r="P18" i="2"/>
  <c r="M18" i="2"/>
  <c r="J18" i="2"/>
  <c r="G18" i="2"/>
  <c r="D18" i="2"/>
  <c r="A18" i="2"/>
  <c r="BL17" i="2"/>
  <c r="BI17" i="2"/>
  <c r="BF17" i="2"/>
  <c r="BC17" i="2"/>
  <c r="AZ17" i="2"/>
  <c r="AW17" i="2"/>
  <c r="AT17" i="2"/>
  <c r="AQ17" i="2"/>
  <c r="AN17" i="2"/>
  <c r="AK17" i="2"/>
  <c r="AH17" i="2"/>
  <c r="AE17" i="2"/>
  <c r="AB17" i="2"/>
  <c r="Y17" i="2"/>
  <c r="V17" i="2"/>
  <c r="S17" i="2"/>
  <c r="P17" i="2"/>
  <c r="M17" i="2"/>
  <c r="J17" i="2"/>
  <c r="G17" i="2"/>
  <c r="D17" i="2"/>
  <c r="A17" i="2"/>
  <c r="BL16" i="2"/>
  <c r="BI16" i="2"/>
  <c r="BF16" i="2"/>
  <c r="BC16" i="2"/>
  <c r="AZ16" i="2"/>
  <c r="AW16" i="2"/>
  <c r="AT16" i="2"/>
  <c r="AQ16" i="2"/>
  <c r="AN16" i="2"/>
  <c r="AK16" i="2"/>
  <c r="AH16" i="2"/>
  <c r="AE16" i="2"/>
  <c r="AB16" i="2"/>
  <c r="Y16" i="2"/>
  <c r="V16" i="2"/>
  <c r="S16" i="2"/>
  <c r="P16" i="2"/>
  <c r="M16" i="2"/>
  <c r="J16" i="2"/>
  <c r="G16" i="2"/>
  <c r="D16" i="2"/>
  <c r="A16" i="2"/>
  <c r="BL15" i="2"/>
  <c r="BI15" i="2"/>
  <c r="BF15" i="2"/>
  <c r="BC15" i="2"/>
  <c r="AZ15" i="2"/>
  <c r="AW15" i="2"/>
  <c r="AT15" i="2"/>
  <c r="AQ15" i="2"/>
  <c r="AN15" i="2"/>
  <c r="AK15" i="2"/>
  <c r="AH15" i="2"/>
  <c r="AE15" i="2"/>
  <c r="AB15" i="2"/>
  <c r="Y15" i="2"/>
  <c r="V15" i="2"/>
  <c r="S15" i="2"/>
  <c r="P15" i="2"/>
  <c r="M15" i="2"/>
  <c r="J15" i="2"/>
  <c r="G15" i="2"/>
  <c r="D15" i="2"/>
  <c r="A15" i="2"/>
  <c r="BL14" i="2"/>
  <c r="BI14" i="2"/>
  <c r="BF14" i="2"/>
  <c r="BC14" i="2"/>
  <c r="AZ14" i="2"/>
  <c r="AW14" i="2"/>
  <c r="AT14" i="2"/>
  <c r="AQ14" i="2"/>
  <c r="AN14" i="2"/>
  <c r="AK14" i="2"/>
  <c r="AH14" i="2"/>
  <c r="AE14" i="2"/>
  <c r="AB14" i="2"/>
  <c r="Y14" i="2"/>
  <c r="V14" i="2"/>
  <c r="S14" i="2"/>
  <c r="P14" i="2"/>
  <c r="M14" i="2"/>
  <c r="J14" i="2"/>
  <c r="G14" i="2"/>
  <c r="D14" i="2"/>
  <c r="A14" i="2"/>
  <c r="BL13" i="2"/>
  <c r="BI13" i="2"/>
  <c r="BF13" i="2"/>
  <c r="BC13" i="2"/>
  <c r="AZ13" i="2"/>
  <c r="AW13" i="2"/>
  <c r="AT13" i="2"/>
  <c r="AQ13" i="2"/>
  <c r="AN13" i="2"/>
  <c r="AK13" i="2"/>
  <c r="AH13" i="2"/>
  <c r="AE13" i="2"/>
  <c r="AB13" i="2"/>
  <c r="Y13" i="2"/>
  <c r="V13" i="2"/>
  <c r="S13" i="2"/>
  <c r="P13" i="2"/>
  <c r="M13" i="2"/>
  <c r="J13" i="2"/>
  <c r="G13" i="2"/>
  <c r="D13" i="2"/>
  <c r="A13" i="2"/>
  <c r="BL12" i="2"/>
  <c r="BI12" i="2"/>
  <c r="BF12" i="2"/>
  <c r="BC12" i="2"/>
  <c r="AZ12" i="2"/>
  <c r="AW12" i="2"/>
  <c r="AT12" i="2"/>
  <c r="AQ12" i="2"/>
  <c r="AN12" i="2"/>
  <c r="AK12" i="2"/>
  <c r="AH12" i="2"/>
  <c r="AE12" i="2"/>
  <c r="AB12" i="2"/>
  <c r="Y12" i="2"/>
  <c r="V12" i="2"/>
  <c r="S12" i="2"/>
  <c r="P12" i="2"/>
  <c r="M12" i="2"/>
  <c r="J12" i="2"/>
  <c r="G12" i="2"/>
  <c r="D12" i="2"/>
  <c r="A12" i="2"/>
  <c r="BL11" i="2"/>
  <c r="BI11" i="2"/>
  <c r="BF11" i="2"/>
  <c r="BC11" i="2"/>
  <c r="AZ11" i="2"/>
  <c r="AW11" i="2"/>
  <c r="AT11" i="2"/>
  <c r="AQ11" i="2"/>
  <c r="AN11" i="2"/>
  <c r="AK11" i="2"/>
  <c r="AH11" i="2"/>
  <c r="AE11" i="2"/>
  <c r="AB11" i="2"/>
  <c r="Y11" i="2"/>
  <c r="V11" i="2"/>
  <c r="S11" i="2"/>
  <c r="P11" i="2"/>
  <c r="M11" i="2"/>
  <c r="J11" i="2"/>
  <c r="G11" i="2"/>
  <c r="D11" i="2"/>
  <c r="A11" i="2"/>
  <c r="BL10" i="2"/>
  <c r="BI10" i="2"/>
  <c r="BF10" i="2"/>
  <c r="BC10" i="2"/>
  <c r="AZ10" i="2"/>
  <c r="AW10" i="2"/>
  <c r="AT10" i="2"/>
  <c r="AQ10" i="2"/>
  <c r="AN10" i="2"/>
  <c r="AK10" i="2"/>
  <c r="AH10" i="2"/>
  <c r="AE10" i="2"/>
  <c r="AB10" i="2"/>
  <c r="Y10" i="2"/>
  <c r="V10" i="2"/>
  <c r="S10" i="2"/>
  <c r="P10" i="2"/>
  <c r="M10" i="2"/>
  <c r="J10" i="2"/>
  <c r="G10" i="2"/>
  <c r="D10" i="2"/>
  <c r="A10" i="2"/>
  <c r="BL9" i="2"/>
  <c r="BI9" i="2"/>
  <c r="BF9" i="2"/>
  <c r="BC9" i="2"/>
  <c r="AZ9" i="2"/>
  <c r="AW9" i="2"/>
  <c r="AT9" i="2"/>
  <c r="AQ9" i="2"/>
  <c r="AN9" i="2"/>
  <c r="AK9" i="2"/>
  <c r="AH9" i="2"/>
  <c r="AE9" i="2"/>
  <c r="AB9" i="2"/>
  <c r="Y9" i="2"/>
  <c r="V9" i="2"/>
  <c r="S9" i="2"/>
  <c r="P9" i="2"/>
  <c r="M9" i="2"/>
  <c r="J9" i="2"/>
  <c r="G9" i="2"/>
  <c r="D9" i="2"/>
  <c r="A9" i="2"/>
  <c r="BL8" i="2"/>
  <c r="BI8" i="2"/>
  <c r="BF8" i="2"/>
  <c r="BC8" i="2"/>
  <c r="AZ8" i="2"/>
  <c r="AW8" i="2"/>
  <c r="AT8" i="2"/>
  <c r="AQ8" i="2"/>
  <c r="AN8" i="2"/>
  <c r="AK8" i="2"/>
  <c r="AH8" i="2"/>
  <c r="AE8" i="2"/>
  <c r="AB8" i="2"/>
  <c r="Y8" i="2"/>
  <c r="V8" i="2"/>
  <c r="S8" i="2"/>
  <c r="P8" i="2"/>
  <c r="M8" i="2"/>
  <c r="J8" i="2"/>
  <c r="G8" i="2"/>
  <c r="D8" i="2"/>
  <c r="A8" i="2"/>
  <c r="BL7" i="2"/>
  <c r="BI7" i="2"/>
  <c r="BF7" i="2"/>
  <c r="BC7" i="2"/>
  <c r="AZ7" i="2"/>
  <c r="AW7" i="2"/>
  <c r="AT7" i="2"/>
  <c r="AQ7" i="2"/>
  <c r="AN7" i="2"/>
  <c r="AK7" i="2"/>
  <c r="AH7" i="2"/>
  <c r="AE7" i="2"/>
  <c r="AB7" i="2"/>
  <c r="Y7" i="2"/>
  <c r="V7" i="2"/>
  <c r="S7" i="2"/>
  <c r="P7" i="2"/>
  <c r="M7" i="2"/>
  <c r="J7" i="2"/>
  <c r="G7" i="2"/>
  <c r="D7" i="2"/>
  <c r="A7" i="2"/>
  <c r="BL6" i="2"/>
  <c r="BI6" i="2"/>
  <c r="BF6" i="2"/>
  <c r="BC6" i="2"/>
  <c r="AZ6" i="2"/>
  <c r="AW6" i="2"/>
  <c r="AT6" i="2"/>
  <c r="AQ6" i="2"/>
  <c r="AN6" i="2"/>
  <c r="AK6" i="2"/>
  <c r="AH6" i="2"/>
  <c r="AE6" i="2"/>
  <c r="AB6" i="2"/>
  <c r="Y6" i="2"/>
  <c r="V6" i="2"/>
  <c r="S6" i="2"/>
  <c r="P6" i="2"/>
  <c r="M6" i="2"/>
  <c r="J6" i="2"/>
  <c r="G6" i="2"/>
  <c r="D6" i="2"/>
  <c r="A6" i="2"/>
  <c r="BL5" i="2"/>
  <c r="BI5" i="2"/>
  <c r="BF5" i="2"/>
  <c r="BC5" i="2"/>
  <c r="AZ5" i="2"/>
  <c r="AW5" i="2"/>
  <c r="AT5" i="2"/>
  <c r="AQ5" i="2"/>
  <c r="AN5" i="2"/>
  <c r="AK5" i="2"/>
  <c r="AH5" i="2"/>
  <c r="AE5" i="2"/>
  <c r="AB5" i="2"/>
  <c r="Y5" i="2"/>
  <c r="V5" i="2"/>
  <c r="S5" i="2"/>
  <c r="P5" i="2"/>
  <c r="M5" i="2"/>
  <c r="J5" i="2"/>
  <c r="G5" i="2"/>
  <c r="D5" i="2"/>
  <c r="A5" i="2"/>
  <c r="BL4" i="2"/>
  <c r="BI4" i="2"/>
  <c r="BF4" i="2"/>
  <c r="BC4" i="2"/>
  <c r="AZ4" i="2"/>
  <c r="AW4" i="2"/>
  <c r="AT4" i="2"/>
  <c r="AQ4" i="2"/>
  <c r="AN4" i="2"/>
  <c r="AK4" i="2"/>
  <c r="AH4" i="2"/>
  <c r="AE4" i="2"/>
  <c r="AB4" i="2"/>
  <c r="Y4" i="2"/>
  <c r="V4" i="2"/>
  <c r="S4" i="2"/>
  <c r="P4" i="2"/>
  <c r="M4" i="2"/>
  <c r="J4" i="2"/>
  <c r="G4" i="2"/>
  <c r="D4" i="2"/>
  <c r="A4" i="2"/>
  <c r="AW23" i="27"/>
  <c r="AW23" i="26"/>
  <c r="AW23" i="25"/>
  <c r="AW23" i="24"/>
  <c r="AW23" i="23"/>
  <c r="AW23" i="22"/>
  <c r="AW23" i="21"/>
  <c r="AW23" i="20"/>
  <c r="AW23" i="19"/>
  <c r="AW23" i="18"/>
  <c r="AW23" i="17"/>
  <c r="AW23" i="6"/>
  <c r="AW52" i="27"/>
  <c r="AW51" i="27"/>
  <c r="AW50" i="27"/>
  <c r="AW49" i="27"/>
  <c r="AW51" i="26"/>
  <c r="AW50" i="26"/>
  <c r="AW49" i="26"/>
  <c r="AW48" i="26"/>
  <c r="AW52" i="25"/>
  <c r="AW51" i="25"/>
  <c r="AW50" i="25"/>
  <c r="AW49" i="25"/>
  <c r="AW51" i="24"/>
  <c r="AW50" i="24"/>
  <c r="AW49" i="24"/>
  <c r="AW48" i="24"/>
  <c r="AW52" i="23"/>
  <c r="AW51" i="23"/>
  <c r="AW50" i="23"/>
  <c r="AW49" i="23"/>
  <c r="AW52" i="22"/>
  <c r="AW51" i="22"/>
  <c r="AW50" i="22"/>
  <c r="AW49" i="22"/>
  <c r="AW51" i="21"/>
  <c r="AW50" i="21"/>
  <c r="AW49" i="21"/>
  <c r="AW48" i="21"/>
  <c r="AW52" i="20"/>
  <c r="AW51" i="20"/>
  <c r="AW50" i="20"/>
  <c r="AW49" i="20"/>
  <c r="AW51" i="19"/>
  <c r="AW50" i="19"/>
  <c r="AW49" i="19"/>
  <c r="AW48" i="19"/>
  <c r="AW52" i="18"/>
  <c r="AW51" i="18"/>
  <c r="AW50" i="18"/>
  <c r="AW49" i="18"/>
  <c r="AW49" i="17"/>
  <c r="AW48" i="17"/>
  <c r="AW47" i="17"/>
  <c r="AW46" i="17"/>
  <c r="AW52" i="6"/>
  <c r="AW51" i="6"/>
  <c r="AW50" i="6"/>
  <c r="AW49" i="6"/>
  <c r="AU38" i="27"/>
  <c r="AB38" i="27"/>
  <c r="AU37" i="27"/>
  <c r="AB37" i="27"/>
  <c r="AU36" i="27"/>
  <c r="AB36" i="27"/>
  <c r="AU35" i="27"/>
  <c r="AB35" i="27"/>
  <c r="AU34" i="27"/>
  <c r="AB34" i="27"/>
  <c r="AU33" i="27"/>
  <c r="AU32" i="27"/>
  <c r="E44" i="27"/>
  <c r="AU31" i="27"/>
  <c r="AB31" i="27"/>
  <c r="AU30" i="27"/>
  <c r="AB30" i="27"/>
  <c r="AU29" i="27"/>
  <c r="AB29" i="27"/>
  <c r="AU28" i="27"/>
  <c r="AB28" i="27"/>
  <c r="AU27" i="27"/>
  <c r="AB27" i="27"/>
  <c r="AU26" i="27"/>
  <c r="AB26" i="27"/>
  <c r="AU25" i="27"/>
  <c r="AB25" i="27"/>
  <c r="AU24" i="27"/>
  <c r="AB24" i="27"/>
  <c r="AU23" i="27"/>
  <c r="AB23" i="27"/>
  <c r="AU22" i="27"/>
  <c r="AB22" i="27"/>
  <c r="AG22" i="27" s="1"/>
  <c r="AU21" i="27"/>
  <c r="AB21" i="27"/>
  <c r="AU20" i="27"/>
  <c r="AB20" i="27"/>
  <c r="AU19" i="27"/>
  <c r="AB19" i="27"/>
  <c r="AU18" i="27"/>
  <c r="AB18" i="27"/>
  <c r="AU17" i="27"/>
  <c r="AB17" i="27"/>
  <c r="AU16" i="27"/>
  <c r="AB16" i="27"/>
  <c r="AU15" i="27"/>
  <c r="AB15" i="27"/>
  <c r="AU14" i="27"/>
  <c r="AB14" i="27"/>
  <c r="AG14" i="27" s="1"/>
  <c r="AU13" i="27"/>
  <c r="AB13" i="27"/>
  <c r="AU12" i="27"/>
  <c r="AB12" i="27"/>
  <c r="AU11" i="27"/>
  <c r="AB11" i="27"/>
  <c r="AU10" i="27"/>
  <c r="AB10" i="27"/>
  <c r="AU9" i="27"/>
  <c r="AB9" i="27"/>
  <c r="AU8" i="27"/>
  <c r="AB8" i="27"/>
  <c r="AU37" i="26"/>
  <c r="AB37" i="26"/>
  <c r="AU36" i="26"/>
  <c r="AB36" i="26"/>
  <c r="AG36" i="26" s="1"/>
  <c r="AU35" i="26"/>
  <c r="AB35" i="26"/>
  <c r="AU34" i="26"/>
  <c r="AB34" i="26"/>
  <c r="AU33" i="26"/>
  <c r="AB33" i="26"/>
  <c r="AU32" i="26"/>
  <c r="AB32" i="26"/>
  <c r="AU31" i="26"/>
  <c r="AB31" i="26"/>
  <c r="AU30" i="26"/>
  <c r="AB30" i="26"/>
  <c r="AU29" i="26"/>
  <c r="AB29" i="26"/>
  <c r="AU28" i="26"/>
  <c r="AB28" i="26"/>
  <c r="AU27" i="26"/>
  <c r="AB27" i="26"/>
  <c r="AU26" i="26"/>
  <c r="AB26" i="26"/>
  <c r="AU25" i="26"/>
  <c r="AB25" i="26"/>
  <c r="AU24" i="26"/>
  <c r="AB24" i="26"/>
  <c r="AU23" i="26"/>
  <c r="AB23" i="26"/>
  <c r="AU22" i="26"/>
  <c r="AU21" i="26"/>
  <c r="AB21" i="26"/>
  <c r="AU20" i="26"/>
  <c r="AB20" i="26"/>
  <c r="AU19" i="26"/>
  <c r="AB19" i="26"/>
  <c r="AU18" i="26"/>
  <c r="AU17" i="26"/>
  <c r="AB17" i="26"/>
  <c r="AU16" i="26"/>
  <c r="AB16" i="26"/>
  <c r="AU15" i="26"/>
  <c r="AB15" i="26"/>
  <c r="AU14" i="26"/>
  <c r="AB14" i="26"/>
  <c r="AU13" i="26"/>
  <c r="AB13" i="26"/>
  <c r="AU12" i="26"/>
  <c r="AB12" i="26"/>
  <c r="AU11" i="26"/>
  <c r="AB11" i="26"/>
  <c r="AU10" i="26"/>
  <c r="AB10" i="26"/>
  <c r="AU9" i="26"/>
  <c r="AB9" i="26"/>
  <c r="AU8" i="26"/>
  <c r="AU38" i="25"/>
  <c r="AB38" i="25"/>
  <c r="AU37" i="25"/>
  <c r="AB37" i="25"/>
  <c r="AU36" i="25"/>
  <c r="AB36" i="25"/>
  <c r="AU35" i="25"/>
  <c r="AB35" i="25"/>
  <c r="AU34" i="25"/>
  <c r="AB34" i="25"/>
  <c r="AU33" i="25"/>
  <c r="AB33" i="25"/>
  <c r="AU32" i="25"/>
  <c r="AB32" i="25"/>
  <c r="AU31" i="25"/>
  <c r="AB31" i="25"/>
  <c r="AU30" i="25"/>
  <c r="AB30" i="25"/>
  <c r="AU29" i="25"/>
  <c r="AB29" i="25"/>
  <c r="AU28" i="25"/>
  <c r="AB28" i="25"/>
  <c r="AU27" i="25"/>
  <c r="AB27" i="25"/>
  <c r="AU26" i="25"/>
  <c r="AB26" i="25"/>
  <c r="AU25" i="25"/>
  <c r="AB25" i="25"/>
  <c r="AU24" i="25"/>
  <c r="AB24" i="25"/>
  <c r="AU23" i="25"/>
  <c r="AB23" i="25"/>
  <c r="AU22" i="25"/>
  <c r="AB22" i="25"/>
  <c r="AU21" i="25"/>
  <c r="AB21" i="25"/>
  <c r="AU20" i="25"/>
  <c r="AB20" i="25"/>
  <c r="AU19" i="25"/>
  <c r="AB19" i="25"/>
  <c r="AU18" i="25"/>
  <c r="AB18" i="25"/>
  <c r="AU17" i="25"/>
  <c r="AB17" i="25"/>
  <c r="AU16" i="25"/>
  <c r="AB16" i="25"/>
  <c r="AU15" i="25"/>
  <c r="AB15" i="25"/>
  <c r="AU14" i="25"/>
  <c r="AB14" i="25"/>
  <c r="AU13" i="25"/>
  <c r="AB13" i="25"/>
  <c r="AU12" i="25"/>
  <c r="AB12" i="25"/>
  <c r="AU11" i="25"/>
  <c r="AB11" i="25"/>
  <c r="AU10" i="25"/>
  <c r="AB10" i="25"/>
  <c r="AU9" i="25"/>
  <c r="AB9" i="25"/>
  <c r="AU8" i="25"/>
  <c r="G44" i="25"/>
  <c r="AB8" i="25"/>
  <c r="AU37" i="24"/>
  <c r="AB37" i="24"/>
  <c r="AU36" i="24"/>
  <c r="AB36" i="24"/>
  <c r="AU35" i="24"/>
  <c r="AB35" i="24"/>
  <c r="AU34" i="24"/>
  <c r="AB34" i="24"/>
  <c r="AU33" i="24"/>
  <c r="AB33" i="24"/>
  <c r="AU32" i="24"/>
  <c r="AB32" i="24"/>
  <c r="AU31" i="24"/>
  <c r="AB31" i="24"/>
  <c r="AU30" i="24"/>
  <c r="AB30" i="24"/>
  <c r="AU29" i="24"/>
  <c r="AB29" i="24"/>
  <c r="AU28" i="24"/>
  <c r="AB28" i="24"/>
  <c r="AU27" i="24"/>
  <c r="AB27" i="24"/>
  <c r="AU26" i="24"/>
  <c r="AB26" i="24"/>
  <c r="AU25" i="24"/>
  <c r="AB25" i="24"/>
  <c r="AU24" i="24"/>
  <c r="AB24" i="24"/>
  <c r="AU23" i="24"/>
  <c r="AB23" i="24"/>
  <c r="AU22" i="24"/>
  <c r="AB22" i="24"/>
  <c r="AU21" i="24"/>
  <c r="AB21" i="24"/>
  <c r="AU20" i="24"/>
  <c r="AB20" i="24"/>
  <c r="AU19" i="24"/>
  <c r="AB19" i="24"/>
  <c r="AU18" i="24"/>
  <c r="AB18" i="24"/>
  <c r="AU17" i="24"/>
  <c r="AB17" i="24"/>
  <c r="AG17" i="24" s="1"/>
  <c r="AU16" i="24"/>
  <c r="AB16" i="24"/>
  <c r="AU15" i="24"/>
  <c r="AB15" i="24"/>
  <c r="AU14" i="24"/>
  <c r="AB14" i="24"/>
  <c r="AU13" i="24"/>
  <c r="AB13" i="24"/>
  <c r="AU12" i="24"/>
  <c r="AB12" i="24"/>
  <c r="AU11" i="24"/>
  <c r="AB11" i="24"/>
  <c r="AU10" i="24"/>
  <c r="AB10" i="24"/>
  <c r="AU9" i="24"/>
  <c r="AB9" i="24"/>
  <c r="AU8" i="24"/>
  <c r="AB8" i="24"/>
  <c r="AU38" i="23"/>
  <c r="AB38" i="23"/>
  <c r="AU37" i="23"/>
  <c r="AB37" i="23"/>
  <c r="AU36" i="23"/>
  <c r="AB36" i="23"/>
  <c r="AU35" i="23"/>
  <c r="AB35" i="23"/>
  <c r="AU34" i="23"/>
  <c r="AB34" i="23"/>
  <c r="AU33" i="23"/>
  <c r="AB33" i="23"/>
  <c r="AU32" i="23"/>
  <c r="AB32" i="23"/>
  <c r="AU31" i="23"/>
  <c r="AB31" i="23"/>
  <c r="AU30" i="23"/>
  <c r="AB30" i="23"/>
  <c r="AU29" i="23"/>
  <c r="AB29" i="23"/>
  <c r="AU28" i="23"/>
  <c r="AB28" i="23"/>
  <c r="AU27" i="23"/>
  <c r="AB27" i="23"/>
  <c r="AU26" i="23"/>
  <c r="AB26" i="23"/>
  <c r="AU25" i="23"/>
  <c r="AB25" i="23"/>
  <c r="AU24" i="23"/>
  <c r="AB24" i="23"/>
  <c r="AU23" i="23"/>
  <c r="AB23" i="23"/>
  <c r="AU22" i="23"/>
  <c r="AU21" i="23"/>
  <c r="AB21" i="23"/>
  <c r="AU20" i="23"/>
  <c r="AB20" i="23"/>
  <c r="AU19" i="23"/>
  <c r="AB19" i="23"/>
  <c r="AU18" i="23"/>
  <c r="AB18" i="23"/>
  <c r="AU17" i="23"/>
  <c r="AB17" i="23"/>
  <c r="AU16" i="23"/>
  <c r="AB16" i="23"/>
  <c r="AU15" i="23"/>
  <c r="AB15" i="23"/>
  <c r="AU14" i="23"/>
  <c r="AB14" i="23"/>
  <c r="AU13" i="23"/>
  <c r="AB13" i="23"/>
  <c r="AU12" i="23"/>
  <c r="AB12" i="23"/>
  <c r="AU11" i="23"/>
  <c r="AB11" i="23"/>
  <c r="AU10" i="23"/>
  <c r="AB10" i="23"/>
  <c r="AU9" i="23"/>
  <c r="AB9" i="23"/>
  <c r="AU8" i="23"/>
  <c r="E44" i="23" s="1"/>
  <c r="AB8" i="23"/>
  <c r="AU38" i="22"/>
  <c r="AB38" i="22"/>
  <c r="AU37" i="22"/>
  <c r="AB37" i="22"/>
  <c r="AU36" i="22"/>
  <c r="AB36" i="22"/>
  <c r="AU35" i="22"/>
  <c r="AB35" i="22"/>
  <c r="AU34" i="22"/>
  <c r="AB34" i="22"/>
  <c r="AU33" i="22"/>
  <c r="AB33" i="22"/>
  <c r="AU32" i="22"/>
  <c r="AB32" i="22"/>
  <c r="AU31" i="22"/>
  <c r="AB31" i="22"/>
  <c r="AU30" i="22"/>
  <c r="AB30" i="22"/>
  <c r="AU29" i="22"/>
  <c r="AB29" i="22"/>
  <c r="AU28" i="22"/>
  <c r="AB28" i="22"/>
  <c r="AU27" i="22"/>
  <c r="AB27" i="22"/>
  <c r="AU26" i="22"/>
  <c r="AB26" i="22"/>
  <c r="AU25" i="22"/>
  <c r="AB25" i="22"/>
  <c r="AU24" i="22"/>
  <c r="AB24" i="22"/>
  <c r="AU23" i="22"/>
  <c r="AB23" i="22"/>
  <c r="AU22" i="22"/>
  <c r="AB22" i="22"/>
  <c r="AU21" i="22"/>
  <c r="AB21" i="22"/>
  <c r="AU20" i="22"/>
  <c r="AB20" i="22"/>
  <c r="AU19" i="22"/>
  <c r="AB19" i="22"/>
  <c r="AU18" i="22"/>
  <c r="AB18" i="22"/>
  <c r="AU17" i="22"/>
  <c r="AB17" i="22"/>
  <c r="AU16" i="22"/>
  <c r="AB16" i="22"/>
  <c r="AU15" i="22"/>
  <c r="AB15" i="22"/>
  <c r="AU14" i="22"/>
  <c r="AB14" i="22"/>
  <c r="AU13" i="22"/>
  <c r="AB13" i="22"/>
  <c r="AU12" i="22"/>
  <c r="AB12" i="22"/>
  <c r="AU11" i="22"/>
  <c r="AB11" i="22"/>
  <c r="AU10" i="22"/>
  <c r="E44" i="22" s="1"/>
  <c r="AB10" i="22"/>
  <c r="AU9" i="22"/>
  <c r="AB9" i="22"/>
  <c r="AU8" i="22"/>
  <c r="AB8" i="22"/>
  <c r="AU37" i="21"/>
  <c r="AB37" i="21"/>
  <c r="AU36" i="21"/>
  <c r="AB36" i="21"/>
  <c r="AU35" i="21"/>
  <c r="AB35" i="21"/>
  <c r="AU34" i="21"/>
  <c r="AB34" i="21"/>
  <c r="AU33" i="21"/>
  <c r="AB33" i="21"/>
  <c r="AU32" i="21"/>
  <c r="AB32" i="21"/>
  <c r="AU31" i="21"/>
  <c r="AB31" i="21"/>
  <c r="AU30" i="21"/>
  <c r="AB30" i="21"/>
  <c r="AU29" i="21"/>
  <c r="AB29" i="21"/>
  <c r="AU28" i="21"/>
  <c r="AB28" i="21"/>
  <c r="AU27" i="21"/>
  <c r="AB27" i="21"/>
  <c r="AU26" i="21"/>
  <c r="AB26" i="21"/>
  <c r="AU25" i="21"/>
  <c r="AB25" i="21"/>
  <c r="AU24" i="21"/>
  <c r="AB24" i="21"/>
  <c r="AU23" i="21"/>
  <c r="AB23" i="21"/>
  <c r="AU22" i="21"/>
  <c r="AB22" i="21"/>
  <c r="AU21" i="21"/>
  <c r="AB21" i="21"/>
  <c r="AU20" i="21"/>
  <c r="AB20" i="21"/>
  <c r="AU19" i="21"/>
  <c r="AB19" i="21"/>
  <c r="AU18" i="21"/>
  <c r="AB18" i="21"/>
  <c r="AU17" i="21"/>
  <c r="AU16" i="21"/>
  <c r="AB16" i="21"/>
  <c r="AU15" i="21"/>
  <c r="AB15" i="21"/>
  <c r="AU14" i="21"/>
  <c r="AB14" i="21"/>
  <c r="AU13" i="21"/>
  <c r="AB13" i="21"/>
  <c r="AU12" i="21"/>
  <c r="AB12" i="21"/>
  <c r="AU11" i="21"/>
  <c r="AB11" i="21"/>
  <c r="AU10" i="21"/>
  <c r="AB10" i="21"/>
  <c r="AU9" i="21"/>
  <c r="AB9" i="21"/>
  <c r="AU8" i="21"/>
  <c r="AB8" i="21"/>
  <c r="AU38" i="20"/>
  <c r="AB38" i="20"/>
  <c r="AU37" i="20"/>
  <c r="AU36" i="20"/>
  <c r="AB36" i="20"/>
  <c r="AU35" i="20"/>
  <c r="AB35" i="20"/>
  <c r="AU34" i="20"/>
  <c r="AB34" i="20"/>
  <c r="AU33" i="20"/>
  <c r="AB33" i="20"/>
  <c r="AU32" i="20"/>
  <c r="AB32" i="20"/>
  <c r="AU31" i="20"/>
  <c r="AB31" i="20"/>
  <c r="AU30" i="20"/>
  <c r="AB30" i="20"/>
  <c r="AU29" i="20"/>
  <c r="AB29" i="20"/>
  <c r="AU28" i="20"/>
  <c r="AB28" i="20"/>
  <c r="AU27" i="20"/>
  <c r="AU26" i="20"/>
  <c r="AB26" i="20"/>
  <c r="AU25" i="20"/>
  <c r="AB25" i="20"/>
  <c r="AU24" i="20"/>
  <c r="AB24" i="20"/>
  <c r="AU23" i="20"/>
  <c r="AB23" i="20"/>
  <c r="AU22" i="20"/>
  <c r="AB22" i="20"/>
  <c r="AU21" i="20"/>
  <c r="AB21" i="20"/>
  <c r="AU20" i="20"/>
  <c r="AB20" i="20"/>
  <c r="AU19" i="20"/>
  <c r="AB19" i="20"/>
  <c r="AU18" i="20"/>
  <c r="AB18" i="20"/>
  <c r="AU17" i="20"/>
  <c r="AB17" i="20"/>
  <c r="AU16" i="20"/>
  <c r="AU15" i="20"/>
  <c r="AB15" i="20"/>
  <c r="AU14" i="20"/>
  <c r="AB14" i="20"/>
  <c r="AU13" i="20"/>
  <c r="AB13" i="20"/>
  <c r="AU12" i="20"/>
  <c r="AB12" i="20"/>
  <c r="AU11" i="20"/>
  <c r="AB11" i="20"/>
  <c r="AU10" i="20"/>
  <c r="AB10" i="20"/>
  <c r="AU9" i="20"/>
  <c r="AB9" i="20"/>
  <c r="AU8" i="20"/>
  <c r="AU37" i="19"/>
  <c r="AB37" i="19"/>
  <c r="AU36" i="19"/>
  <c r="AB36" i="19"/>
  <c r="AU35" i="19"/>
  <c r="AB35" i="19"/>
  <c r="AU34" i="19"/>
  <c r="AB34" i="19"/>
  <c r="AU33" i="19"/>
  <c r="AB33" i="19"/>
  <c r="AU32" i="19"/>
  <c r="AB32" i="19"/>
  <c r="AU31" i="19"/>
  <c r="AB31" i="19"/>
  <c r="AU30" i="19"/>
  <c r="AB30" i="19"/>
  <c r="AU29" i="19"/>
  <c r="AU28" i="19"/>
  <c r="AB28" i="19"/>
  <c r="AU27" i="19"/>
  <c r="AB27" i="19"/>
  <c r="AU26" i="19"/>
  <c r="AB26" i="19"/>
  <c r="AU25" i="19"/>
  <c r="AB25" i="19"/>
  <c r="AG25" i="19" s="1"/>
  <c r="AU24" i="19"/>
  <c r="AB24" i="19"/>
  <c r="AU23" i="19"/>
  <c r="AB23" i="19"/>
  <c r="AU22" i="19"/>
  <c r="AB22" i="19"/>
  <c r="AU21" i="19"/>
  <c r="AB21" i="19"/>
  <c r="AU20" i="19"/>
  <c r="AB20" i="19"/>
  <c r="AU19" i="19"/>
  <c r="AB19" i="19"/>
  <c r="AU18" i="19"/>
  <c r="AB18" i="19"/>
  <c r="AU17" i="19"/>
  <c r="AB17" i="19"/>
  <c r="AU16" i="19"/>
  <c r="AB16" i="19"/>
  <c r="AU15" i="19"/>
  <c r="AB15" i="19"/>
  <c r="AU14" i="19"/>
  <c r="AB14" i="19"/>
  <c r="AU13" i="19"/>
  <c r="AB13" i="19"/>
  <c r="AU12" i="19"/>
  <c r="AB12" i="19"/>
  <c r="AU11" i="19"/>
  <c r="AB11" i="19"/>
  <c r="AU10" i="19"/>
  <c r="AB10" i="19"/>
  <c r="AU9" i="19"/>
  <c r="E43" i="19" s="1"/>
  <c r="AB9" i="19"/>
  <c r="AU8" i="19"/>
  <c r="AU38" i="18"/>
  <c r="AB38" i="18"/>
  <c r="AU37" i="18"/>
  <c r="AB37" i="18"/>
  <c r="AU36" i="18"/>
  <c r="AB36" i="18"/>
  <c r="AU35" i="18"/>
  <c r="AB35" i="18"/>
  <c r="AU34" i="18"/>
  <c r="AB34" i="18"/>
  <c r="AU33" i="18"/>
  <c r="AB33" i="18"/>
  <c r="AU32" i="18"/>
  <c r="AB32" i="18"/>
  <c r="AU31" i="18"/>
  <c r="AB31" i="18"/>
  <c r="AU30" i="18"/>
  <c r="AB30" i="18"/>
  <c r="AU29" i="18"/>
  <c r="AB29" i="18"/>
  <c r="AU28" i="18"/>
  <c r="AB28" i="18"/>
  <c r="AU27" i="18"/>
  <c r="AB27" i="18"/>
  <c r="AU26" i="18"/>
  <c r="AB26" i="18"/>
  <c r="AU25" i="18"/>
  <c r="AB25" i="18"/>
  <c r="AU24" i="18"/>
  <c r="AB24" i="18"/>
  <c r="AU23" i="18"/>
  <c r="AB23" i="18"/>
  <c r="AU22" i="18"/>
  <c r="AB22" i="18"/>
  <c r="AU21" i="18"/>
  <c r="AB21" i="18"/>
  <c r="AU20" i="18"/>
  <c r="AB20" i="18"/>
  <c r="AU19" i="18"/>
  <c r="AB19" i="18"/>
  <c r="AU18" i="18"/>
  <c r="AB18" i="18"/>
  <c r="AU17" i="18"/>
  <c r="AB17" i="18"/>
  <c r="AU16" i="18"/>
  <c r="AB16" i="18"/>
  <c r="AU15" i="18"/>
  <c r="AB15" i="18"/>
  <c r="AU14" i="18"/>
  <c r="AB14" i="18"/>
  <c r="AU13" i="18"/>
  <c r="AB13" i="18"/>
  <c r="AU12" i="18"/>
  <c r="AB12" i="18"/>
  <c r="AU11" i="18"/>
  <c r="AB11" i="18"/>
  <c r="AU10" i="18"/>
  <c r="AB10" i="18"/>
  <c r="AU9" i="18"/>
  <c r="AB9" i="18"/>
  <c r="AU8" i="18"/>
  <c r="E44" i="18" s="1"/>
  <c r="AB8" i="18"/>
  <c r="AU36" i="17"/>
  <c r="AB36" i="17"/>
  <c r="AU35" i="17"/>
  <c r="AB35" i="17"/>
  <c r="AU34" i="17"/>
  <c r="AB34" i="17"/>
  <c r="AU33" i="17"/>
  <c r="AB33" i="17"/>
  <c r="AU32" i="17"/>
  <c r="AB32" i="17"/>
  <c r="AU31" i="17"/>
  <c r="AB31" i="17"/>
  <c r="AU30" i="17"/>
  <c r="AB30" i="17"/>
  <c r="AU29" i="17"/>
  <c r="AB29" i="17"/>
  <c r="AU28" i="17"/>
  <c r="AB28" i="17"/>
  <c r="AU27" i="17"/>
  <c r="AB27" i="17"/>
  <c r="AG27" i="17" s="1"/>
  <c r="AU26" i="17"/>
  <c r="AB26" i="17"/>
  <c r="AU25" i="17"/>
  <c r="AB25" i="17"/>
  <c r="AU24" i="17"/>
  <c r="AB24" i="17"/>
  <c r="AU23" i="17"/>
  <c r="AB23" i="17"/>
  <c r="AU22" i="17"/>
  <c r="AB22" i="17"/>
  <c r="AU21" i="17"/>
  <c r="AB21" i="17"/>
  <c r="AU20" i="17"/>
  <c r="AB20" i="17"/>
  <c r="AU19" i="17"/>
  <c r="AB19" i="17"/>
  <c r="L19" i="17" s="1"/>
  <c r="AU18" i="17"/>
  <c r="AB18" i="17"/>
  <c r="AU17" i="17"/>
  <c r="AB17" i="17"/>
  <c r="AU16" i="17"/>
  <c r="AB16" i="17"/>
  <c r="AU15" i="17"/>
  <c r="AB15" i="17"/>
  <c r="AU14" i="17"/>
  <c r="AB14" i="17"/>
  <c r="AU13" i="17"/>
  <c r="AB13" i="17"/>
  <c r="AU12" i="17"/>
  <c r="AB12" i="17"/>
  <c r="AU11" i="17"/>
  <c r="AB11" i="17"/>
  <c r="AU10" i="17"/>
  <c r="AB10" i="17"/>
  <c r="AU9" i="17"/>
  <c r="AB9" i="17"/>
  <c r="AU8" i="17"/>
  <c r="AB8" i="17"/>
  <c r="AU38" i="6"/>
  <c r="AB38" i="6"/>
  <c r="AU37" i="6"/>
  <c r="AB37" i="6"/>
  <c r="AU36" i="6"/>
  <c r="AB36" i="6"/>
  <c r="AU35" i="6"/>
  <c r="AB35" i="6"/>
  <c r="AU34" i="6"/>
  <c r="AB34" i="6"/>
  <c r="AU33" i="6"/>
  <c r="AB33" i="6"/>
  <c r="AU32" i="6"/>
  <c r="AB32" i="6"/>
  <c r="AU31" i="6"/>
  <c r="AB31" i="6"/>
  <c r="AU30" i="6"/>
  <c r="AB30" i="6"/>
  <c r="AU29" i="6"/>
  <c r="AB29" i="6"/>
  <c r="AU28" i="6"/>
  <c r="AB28" i="6"/>
  <c r="AU27" i="6"/>
  <c r="AB27" i="6"/>
  <c r="AU26" i="6"/>
  <c r="AB26" i="6"/>
  <c r="AU25" i="6"/>
  <c r="AB25" i="6"/>
  <c r="AU24" i="6"/>
  <c r="AB24" i="6"/>
  <c r="AU23" i="6"/>
  <c r="AB23" i="6"/>
  <c r="AU22" i="6"/>
  <c r="AB22" i="6"/>
  <c r="AG22" i="6" s="1"/>
  <c r="AU21" i="6"/>
  <c r="AB21" i="6"/>
  <c r="AU20" i="6"/>
  <c r="AB20" i="6"/>
  <c r="AU19" i="6"/>
  <c r="AB19" i="6"/>
  <c r="AU18" i="6"/>
  <c r="AB18" i="6"/>
  <c r="AU17" i="6"/>
  <c r="AB17" i="6"/>
  <c r="AU16" i="6"/>
  <c r="AB16" i="6"/>
  <c r="AU15" i="6"/>
  <c r="AB15" i="6"/>
  <c r="AU14" i="6"/>
  <c r="AB14" i="6"/>
  <c r="AU13" i="6"/>
  <c r="AB13" i="6"/>
  <c r="AU12" i="6"/>
  <c r="AB12" i="6"/>
  <c r="AU11" i="6"/>
  <c r="AB11" i="6"/>
  <c r="AU10" i="6"/>
  <c r="AB10" i="6"/>
  <c r="AU9" i="6"/>
  <c r="AB9" i="6"/>
  <c r="AU8" i="6"/>
  <c r="W53" i="27"/>
  <c r="W52" i="26"/>
  <c r="W53" i="25"/>
  <c r="W52" i="24"/>
  <c r="W53" i="23"/>
  <c r="W53" i="22"/>
  <c r="W52" i="21"/>
  <c r="W53" i="20"/>
  <c r="W52" i="19"/>
  <c r="W53" i="18"/>
  <c r="W51" i="17"/>
  <c r="W53" i="6"/>
  <c r="C8" i="6"/>
  <c r="C8" i="17"/>
  <c r="B8" i="17" s="1"/>
  <c r="U8" i="17"/>
  <c r="C8" i="18"/>
  <c r="C8" i="19"/>
  <c r="C8" i="20"/>
  <c r="C8" i="21"/>
  <c r="C9" i="21"/>
  <c r="C8" i="22"/>
  <c r="C8" i="23"/>
  <c r="C9" i="23"/>
  <c r="C8" i="24"/>
  <c r="C9" i="24" s="1"/>
  <c r="C8" i="25"/>
  <c r="C8" i="26"/>
  <c r="C9" i="26"/>
  <c r="C8" i="27"/>
  <c r="B8" i="27" s="1"/>
  <c r="X36" i="17"/>
  <c r="AC36" i="17"/>
  <c r="AD36" i="17"/>
  <c r="AE36" i="17"/>
  <c r="AF36" i="17"/>
  <c r="AH36" i="17"/>
  <c r="AJ36" i="17" s="1"/>
  <c r="AI36" i="17"/>
  <c r="AK36" i="17"/>
  <c r="AN36" i="17"/>
  <c r="W36" i="17" s="1"/>
  <c r="AL36" i="17"/>
  <c r="AO36" i="17"/>
  <c r="Q36" i="17"/>
  <c r="AP36" i="17"/>
  <c r="R36" i="17" s="1"/>
  <c r="AQ36" i="17"/>
  <c r="S36" i="17"/>
  <c r="AR36" i="17"/>
  <c r="T36" i="17" s="1"/>
  <c r="AS36" i="17"/>
  <c r="AT36" i="17"/>
  <c r="M4" i="26"/>
  <c r="M4" i="27" s="1"/>
  <c r="M4" i="24"/>
  <c r="M4" i="25"/>
  <c r="M4" i="22"/>
  <c r="M4" i="23" s="1"/>
  <c r="M4" i="20"/>
  <c r="M4" i="21"/>
  <c r="M4" i="18"/>
  <c r="M4" i="19" s="1"/>
  <c r="D37" i="1"/>
  <c r="E42" i="6"/>
  <c r="M3" i="17"/>
  <c r="AC9" i="27"/>
  <c r="AC10" i="27"/>
  <c r="AC11" i="27"/>
  <c r="AC12" i="27"/>
  <c r="AC13" i="27"/>
  <c r="AC14" i="27"/>
  <c r="AC15" i="27"/>
  <c r="AC16" i="27"/>
  <c r="AC17" i="27"/>
  <c r="AC18" i="27"/>
  <c r="AC19" i="27"/>
  <c r="AC20" i="27"/>
  <c r="AC21" i="27"/>
  <c r="AC22" i="27"/>
  <c r="AC23" i="27"/>
  <c r="AC24" i="27"/>
  <c r="AC25" i="27"/>
  <c r="AC26" i="27"/>
  <c r="AC27" i="27"/>
  <c r="AC28" i="27"/>
  <c r="AC29" i="27"/>
  <c r="AC30" i="27"/>
  <c r="AC31" i="27"/>
  <c r="AC32" i="27"/>
  <c r="AC33" i="27"/>
  <c r="AC34" i="27"/>
  <c r="AC35" i="27"/>
  <c r="AC36" i="27"/>
  <c r="AC37" i="27"/>
  <c r="AC38" i="27"/>
  <c r="AC8" i="27"/>
  <c r="AC9" i="26"/>
  <c r="AC10" i="26"/>
  <c r="AC11" i="26"/>
  <c r="AC12" i="26"/>
  <c r="AC13" i="26"/>
  <c r="AC14" i="26"/>
  <c r="AC15" i="26"/>
  <c r="AC16" i="26"/>
  <c r="AC17" i="26"/>
  <c r="AC18" i="26"/>
  <c r="AC19" i="26"/>
  <c r="AC20" i="26"/>
  <c r="AC21" i="26"/>
  <c r="AC22" i="26"/>
  <c r="AC23" i="26"/>
  <c r="AC24" i="26"/>
  <c r="AC25" i="26"/>
  <c r="AC26" i="26"/>
  <c r="AG26" i="26" s="1"/>
  <c r="AC27" i="26"/>
  <c r="AC28" i="26"/>
  <c r="AC29" i="26"/>
  <c r="AC30" i="26"/>
  <c r="AC31" i="26"/>
  <c r="AC32" i="26"/>
  <c r="AC33" i="26"/>
  <c r="AC34" i="26"/>
  <c r="AC35" i="26"/>
  <c r="AC36" i="26"/>
  <c r="AC37" i="26"/>
  <c r="AC8" i="26"/>
  <c r="AC9" i="25"/>
  <c r="AC10" i="25"/>
  <c r="AC11" i="25"/>
  <c r="AC12" i="25"/>
  <c r="AC13" i="25"/>
  <c r="AC14" i="25"/>
  <c r="AC15" i="25"/>
  <c r="AC16" i="25"/>
  <c r="AC17" i="25"/>
  <c r="AC18" i="25"/>
  <c r="AC19" i="25"/>
  <c r="AC20" i="25"/>
  <c r="AC21" i="25"/>
  <c r="AC22" i="25"/>
  <c r="AC23" i="25"/>
  <c r="AC24" i="25"/>
  <c r="AC25" i="25"/>
  <c r="AC26" i="25"/>
  <c r="AC27" i="25"/>
  <c r="AC28" i="25"/>
  <c r="AC29" i="25"/>
  <c r="AC30" i="25"/>
  <c r="AC31" i="25"/>
  <c r="AC32" i="25"/>
  <c r="AC33" i="25"/>
  <c r="AC34" i="25"/>
  <c r="AC35" i="25"/>
  <c r="AC36" i="25"/>
  <c r="AC37" i="25"/>
  <c r="AC38" i="25"/>
  <c r="AC8" i="25"/>
  <c r="AC9" i="24"/>
  <c r="AC10" i="24"/>
  <c r="AC11" i="24"/>
  <c r="AC12" i="24"/>
  <c r="AC13" i="24"/>
  <c r="AC14" i="24"/>
  <c r="AC15" i="24"/>
  <c r="AC16" i="24"/>
  <c r="AC17" i="24"/>
  <c r="AC18" i="24"/>
  <c r="AC19" i="24"/>
  <c r="AC20" i="24"/>
  <c r="AG20" i="24" s="1"/>
  <c r="AC21" i="24"/>
  <c r="AC22" i="24"/>
  <c r="AC23" i="24"/>
  <c r="AC24" i="24"/>
  <c r="AC25" i="24"/>
  <c r="AC26" i="24"/>
  <c r="AC27" i="24"/>
  <c r="AC28" i="24"/>
  <c r="AC29" i="24"/>
  <c r="AC30" i="24"/>
  <c r="AC31" i="24"/>
  <c r="AC32" i="24"/>
  <c r="AC33" i="24"/>
  <c r="AC34" i="24"/>
  <c r="AC35" i="24"/>
  <c r="AC36" i="24"/>
  <c r="AC37" i="24"/>
  <c r="AC8" i="24"/>
  <c r="AC9" i="23"/>
  <c r="AC10" i="23"/>
  <c r="AC11" i="23"/>
  <c r="AC12" i="23"/>
  <c r="AC13" i="23"/>
  <c r="AC14" i="23"/>
  <c r="AC15" i="23"/>
  <c r="AC16" i="23"/>
  <c r="AC17" i="23"/>
  <c r="AC18" i="23"/>
  <c r="AC19" i="23"/>
  <c r="AC20" i="23"/>
  <c r="AC21" i="23"/>
  <c r="AC22" i="23"/>
  <c r="AC23" i="23"/>
  <c r="AC24" i="23"/>
  <c r="AC25" i="23"/>
  <c r="AC26" i="23"/>
  <c r="AC27" i="23"/>
  <c r="AC28" i="23"/>
  <c r="AC29" i="23"/>
  <c r="AC30" i="23"/>
  <c r="AC31" i="23"/>
  <c r="AC32" i="23"/>
  <c r="AC33" i="23"/>
  <c r="AC34" i="23"/>
  <c r="AC35" i="23"/>
  <c r="AC36" i="23"/>
  <c r="AC37" i="23"/>
  <c r="AC38" i="23"/>
  <c r="AC8" i="23"/>
  <c r="AC9" i="22"/>
  <c r="AC10" i="22"/>
  <c r="AC11" i="22"/>
  <c r="AC12" i="22"/>
  <c r="AC13" i="22"/>
  <c r="AC14" i="22"/>
  <c r="AC15" i="22"/>
  <c r="AC16" i="22"/>
  <c r="AC17" i="22"/>
  <c r="AC18" i="22"/>
  <c r="AC19" i="22"/>
  <c r="AC20" i="22"/>
  <c r="AC21" i="22"/>
  <c r="AC22" i="22"/>
  <c r="AC23" i="22"/>
  <c r="AC24" i="22"/>
  <c r="AC25" i="22"/>
  <c r="AC26" i="22"/>
  <c r="AC27" i="22"/>
  <c r="AC28" i="22"/>
  <c r="AC29" i="22"/>
  <c r="AC30" i="22"/>
  <c r="AC31" i="22"/>
  <c r="AC32" i="22"/>
  <c r="AC33" i="22"/>
  <c r="AC34" i="22"/>
  <c r="AC35" i="22"/>
  <c r="AC36" i="22"/>
  <c r="AC37" i="22"/>
  <c r="AC38" i="22"/>
  <c r="AC8" i="22"/>
  <c r="AC9" i="21"/>
  <c r="AC10" i="21"/>
  <c r="AC11" i="21"/>
  <c r="AC12" i="21"/>
  <c r="AC13" i="21"/>
  <c r="AC14" i="21"/>
  <c r="AC15" i="21"/>
  <c r="AC16" i="21"/>
  <c r="AC17" i="21"/>
  <c r="AC18" i="21"/>
  <c r="AC19" i="21"/>
  <c r="AC20" i="21"/>
  <c r="AC21" i="21"/>
  <c r="AC22" i="21"/>
  <c r="AC23" i="21"/>
  <c r="AC24" i="21"/>
  <c r="AC25" i="21"/>
  <c r="AC26" i="21"/>
  <c r="AC27" i="21"/>
  <c r="AC28" i="21"/>
  <c r="AC29" i="21"/>
  <c r="AC30" i="21"/>
  <c r="AC31" i="21"/>
  <c r="AC32" i="21"/>
  <c r="AC33" i="21"/>
  <c r="AC34" i="21"/>
  <c r="AC35" i="21"/>
  <c r="AC36" i="21"/>
  <c r="AC37" i="21"/>
  <c r="AC8" i="21"/>
  <c r="AC9" i="20"/>
  <c r="AC10" i="20"/>
  <c r="AC11" i="20"/>
  <c r="AC12" i="20"/>
  <c r="AC13" i="20"/>
  <c r="AC14" i="20"/>
  <c r="AC15" i="20"/>
  <c r="AC16" i="20"/>
  <c r="AC17" i="20"/>
  <c r="AC18" i="20"/>
  <c r="AC19" i="20"/>
  <c r="AC20" i="20"/>
  <c r="AC21" i="20"/>
  <c r="AC22" i="20"/>
  <c r="AC23" i="20"/>
  <c r="AC24" i="20"/>
  <c r="AC25" i="20"/>
  <c r="AC26" i="20"/>
  <c r="AC27" i="20"/>
  <c r="AC28" i="20"/>
  <c r="AC29" i="20"/>
  <c r="AC30" i="20"/>
  <c r="AC31" i="20"/>
  <c r="AC32" i="20"/>
  <c r="AC33" i="20"/>
  <c r="AC34" i="20"/>
  <c r="AC35" i="20"/>
  <c r="AC36" i="20"/>
  <c r="AC37" i="20"/>
  <c r="AC38" i="20"/>
  <c r="AC8" i="20"/>
  <c r="AC9" i="19"/>
  <c r="AC10" i="19"/>
  <c r="AC11" i="19"/>
  <c r="AC12" i="19"/>
  <c r="AC13" i="19"/>
  <c r="AC14" i="19"/>
  <c r="AC15" i="19"/>
  <c r="AC16" i="19"/>
  <c r="AC17" i="19"/>
  <c r="AC18" i="19"/>
  <c r="AC19" i="19"/>
  <c r="AC20" i="19"/>
  <c r="AC21" i="19"/>
  <c r="AC22" i="19"/>
  <c r="AC23" i="19"/>
  <c r="AC24" i="19"/>
  <c r="AC25" i="19"/>
  <c r="AC26" i="19"/>
  <c r="AC27" i="19"/>
  <c r="AC28" i="19"/>
  <c r="AC29" i="19"/>
  <c r="AC30" i="19"/>
  <c r="AC31" i="19"/>
  <c r="AC32" i="19"/>
  <c r="AC33" i="19"/>
  <c r="AC34" i="19"/>
  <c r="AC35" i="19"/>
  <c r="AC36" i="19"/>
  <c r="AC37" i="19"/>
  <c r="AC8" i="19"/>
  <c r="AC9" i="18"/>
  <c r="AC10" i="18"/>
  <c r="AC11" i="18"/>
  <c r="AC12" i="18"/>
  <c r="AC13" i="18"/>
  <c r="AC14" i="18"/>
  <c r="AC15" i="18"/>
  <c r="AC16" i="18"/>
  <c r="AG16" i="18" s="1"/>
  <c r="AC17" i="18"/>
  <c r="AC18" i="18"/>
  <c r="AC19" i="18"/>
  <c r="AC20" i="18"/>
  <c r="AC21" i="18"/>
  <c r="AC22" i="18"/>
  <c r="AC23" i="18"/>
  <c r="AC24" i="18"/>
  <c r="AC25" i="18"/>
  <c r="AC26" i="18"/>
  <c r="AC27" i="18"/>
  <c r="AC28" i="18"/>
  <c r="AC29" i="18"/>
  <c r="AC30" i="18"/>
  <c r="AC31" i="18"/>
  <c r="AC32" i="18"/>
  <c r="AC33" i="18"/>
  <c r="AC34" i="18"/>
  <c r="AC35" i="18"/>
  <c r="AC36" i="18"/>
  <c r="AC37" i="18"/>
  <c r="AC38" i="18"/>
  <c r="AC8" i="18"/>
  <c r="AC9" i="17"/>
  <c r="AC10" i="17"/>
  <c r="AC11" i="17"/>
  <c r="AC12" i="17"/>
  <c r="AC13" i="17"/>
  <c r="AC14" i="17"/>
  <c r="AC15" i="17"/>
  <c r="AC16" i="17"/>
  <c r="AC17" i="17"/>
  <c r="AC18" i="17"/>
  <c r="AC19" i="17"/>
  <c r="AC20" i="17"/>
  <c r="AC21" i="17"/>
  <c r="AC22" i="17"/>
  <c r="AC23" i="17"/>
  <c r="AC24" i="17"/>
  <c r="AC25" i="17"/>
  <c r="AC26" i="17"/>
  <c r="AC27" i="17"/>
  <c r="AC28" i="17"/>
  <c r="AC29" i="17"/>
  <c r="AG29" i="17" s="1"/>
  <c r="AC30" i="17"/>
  <c r="AC31" i="17"/>
  <c r="AC32" i="17"/>
  <c r="AC33" i="17"/>
  <c r="AC34" i="17"/>
  <c r="AC35" i="17"/>
  <c r="AC8" i="17"/>
  <c r="AG8" i="17" s="1"/>
  <c r="E43" i="17"/>
  <c r="AC9" i="6"/>
  <c r="AC10" i="6"/>
  <c r="AC11" i="6"/>
  <c r="AC12" i="6"/>
  <c r="AC13" i="6"/>
  <c r="AC14" i="6"/>
  <c r="AC15" i="6"/>
  <c r="AC16" i="6"/>
  <c r="AC17" i="6"/>
  <c r="AC18" i="6"/>
  <c r="AC19" i="6"/>
  <c r="AC20" i="6"/>
  <c r="AC21" i="6"/>
  <c r="AC22" i="6"/>
  <c r="AC23" i="6"/>
  <c r="AC24" i="6"/>
  <c r="AC25" i="6"/>
  <c r="AC26" i="6"/>
  <c r="AC27" i="6"/>
  <c r="AC28" i="6"/>
  <c r="AC29" i="6"/>
  <c r="AC30" i="6"/>
  <c r="AC31" i="6"/>
  <c r="AC32" i="6"/>
  <c r="AC33" i="6"/>
  <c r="AC34" i="6"/>
  <c r="AC35" i="6"/>
  <c r="AC36" i="6"/>
  <c r="AC37" i="6"/>
  <c r="AC38" i="6"/>
  <c r="AC8" i="6"/>
  <c r="AM45" i="27"/>
  <c r="AD38" i="27"/>
  <c r="AD37" i="27"/>
  <c r="AD36" i="27"/>
  <c r="AD35" i="27"/>
  <c r="AD34" i="27"/>
  <c r="AD33" i="27"/>
  <c r="AD32" i="27"/>
  <c r="AD31" i="27"/>
  <c r="AD30" i="27"/>
  <c r="AD29" i="27"/>
  <c r="AD28" i="27"/>
  <c r="AD27" i="27"/>
  <c r="AD26" i="27"/>
  <c r="AD25" i="27"/>
  <c r="AD24" i="27"/>
  <c r="AD23" i="27"/>
  <c r="AD22" i="27"/>
  <c r="AD21" i="27"/>
  <c r="AD20" i="27"/>
  <c r="AD19" i="27"/>
  <c r="AD18" i="27"/>
  <c r="AD17" i="27"/>
  <c r="AD16" i="27"/>
  <c r="AD15" i="27"/>
  <c r="AD14" i="27"/>
  <c r="AD13" i="27"/>
  <c r="AD12" i="27"/>
  <c r="AD11" i="27"/>
  <c r="AD10" i="27"/>
  <c r="AD9" i="27"/>
  <c r="AD8" i="27"/>
  <c r="AM44" i="26"/>
  <c r="AD37" i="26"/>
  <c r="AD36" i="26"/>
  <c r="AD35" i="26"/>
  <c r="AD34" i="26"/>
  <c r="AD33" i="26"/>
  <c r="AD32" i="26"/>
  <c r="AD31" i="26"/>
  <c r="AD30" i="26"/>
  <c r="AD29" i="26"/>
  <c r="AD28" i="26"/>
  <c r="AD27" i="26"/>
  <c r="AD26" i="26"/>
  <c r="AD25" i="26"/>
  <c r="AD24" i="26"/>
  <c r="AG24" i="26" s="1"/>
  <c r="AD23" i="26"/>
  <c r="AD22" i="26"/>
  <c r="AD21" i="26"/>
  <c r="AD20" i="26"/>
  <c r="AD19" i="26"/>
  <c r="AD18" i="26"/>
  <c r="AD17" i="26"/>
  <c r="AD16" i="26"/>
  <c r="AD15" i="26"/>
  <c r="AD14" i="26"/>
  <c r="AD13" i="26"/>
  <c r="AD12" i="26"/>
  <c r="AD11" i="26"/>
  <c r="AD10" i="26"/>
  <c r="AD9" i="26"/>
  <c r="AD8" i="26"/>
  <c r="AM45" i="25"/>
  <c r="AD38" i="25"/>
  <c r="AD37" i="25"/>
  <c r="AD36" i="25"/>
  <c r="AD35" i="25"/>
  <c r="AD34" i="25"/>
  <c r="AD33" i="25"/>
  <c r="AD32" i="25"/>
  <c r="AD31" i="25"/>
  <c r="AD30" i="25"/>
  <c r="AD29" i="25"/>
  <c r="AD28" i="25"/>
  <c r="AD27" i="25"/>
  <c r="AD26" i="25"/>
  <c r="AD25" i="25"/>
  <c r="AD24" i="25"/>
  <c r="AD23" i="25"/>
  <c r="AD22" i="25"/>
  <c r="AD21" i="25"/>
  <c r="AD20" i="25"/>
  <c r="AD19" i="25"/>
  <c r="AD18" i="25"/>
  <c r="AD17" i="25"/>
  <c r="AD16" i="25"/>
  <c r="AD15" i="25"/>
  <c r="AD14" i="25"/>
  <c r="AD13" i="25"/>
  <c r="AD12" i="25"/>
  <c r="AD11" i="25"/>
  <c r="AD10" i="25"/>
  <c r="AD9" i="25"/>
  <c r="AD8" i="25"/>
  <c r="AM44" i="24"/>
  <c r="AD37" i="24"/>
  <c r="AD36" i="24"/>
  <c r="AD35" i="24"/>
  <c r="AG35" i="24" s="1"/>
  <c r="AD34" i="24"/>
  <c r="AD33" i="24"/>
  <c r="AD32" i="24"/>
  <c r="AD31" i="24"/>
  <c r="AD30" i="24"/>
  <c r="AD29" i="24"/>
  <c r="AG29" i="24"/>
  <c r="AD28" i="24"/>
  <c r="AD27" i="24"/>
  <c r="AD26" i="24"/>
  <c r="AD25" i="24"/>
  <c r="AD24" i="24"/>
  <c r="AD23" i="24"/>
  <c r="AD22" i="24"/>
  <c r="AD21" i="24"/>
  <c r="AD20" i="24"/>
  <c r="AD19" i="24"/>
  <c r="AD18" i="24"/>
  <c r="AD17" i="24"/>
  <c r="AD16" i="24"/>
  <c r="AD15" i="24"/>
  <c r="AD14" i="24"/>
  <c r="AD13" i="24"/>
  <c r="AD12" i="24"/>
  <c r="AD11" i="24"/>
  <c r="AD10" i="24"/>
  <c r="AD9" i="24"/>
  <c r="AD8" i="24"/>
  <c r="AM45" i="23"/>
  <c r="AD38" i="23"/>
  <c r="AD37" i="23"/>
  <c r="AD36" i="23"/>
  <c r="AD35" i="23"/>
  <c r="AD34" i="23"/>
  <c r="AD33" i="23"/>
  <c r="AD32" i="23"/>
  <c r="AD31" i="23"/>
  <c r="AD30" i="23"/>
  <c r="AD29" i="23"/>
  <c r="AD28" i="23"/>
  <c r="AD27" i="23"/>
  <c r="AD26" i="23"/>
  <c r="AD25" i="23"/>
  <c r="AD24" i="23"/>
  <c r="AD23" i="23"/>
  <c r="AD22" i="23"/>
  <c r="AD21" i="23"/>
  <c r="AD20" i="23"/>
  <c r="AD19" i="23"/>
  <c r="AD18" i="23"/>
  <c r="AD17" i="23"/>
  <c r="AD16" i="23"/>
  <c r="AD15" i="23"/>
  <c r="AD14" i="23"/>
  <c r="AD13" i="23"/>
  <c r="AD12" i="23"/>
  <c r="AD11" i="23"/>
  <c r="AD10" i="23"/>
  <c r="AD9" i="23"/>
  <c r="AD8" i="23"/>
  <c r="AM45" i="22"/>
  <c r="AD38" i="22"/>
  <c r="AD37" i="22"/>
  <c r="AD36" i="22"/>
  <c r="AD35" i="22"/>
  <c r="AD34" i="22"/>
  <c r="AD33" i="22"/>
  <c r="AD32" i="22"/>
  <c r="AD31" i="22"/>
  <c r="AD30" i="22"/>
  <c r="AD29" i="22"/>
  <c r="AD28" i="22"/>
  <c r="AD27" i="22"/>
  <c r="AD26" i="22"/>
  <c r="AD25" i="22"/>
  <c r="AD24" i="22"/>
  <c r="AD23" i="22"/>
  <c r="AD22" i="22"/>
  <c r="AD21" i="22"/>
  <c r="AD20" i="22"/>
  <c r="AD19" i="22"/>
  <c r="AD18" i="22"/>
  <c r="AD17" i="22"/>
  <c r="AD16" i="22"/>
  <c r="AD15" i="22"/>
  <c r="AD14" i="22"/>
  <c r="AD13" i="22"/>
  <c r="AD12" i="22"/>
  <c r="AD11" i="22"/>
  <c r="AD10" i="22"/>
  <c r="AD9" i="22"/>
  <c r="AD8" i="22"/>
  <c r="AM44" i="21"/>
  <c r="AD37" i="21"/>
  <c r="AD36" i="21"/>
  <c r="AD35" i="21"/>
  <c r="AD34" i="21"/>
  <c r="AD33" i="21"/>
  <c r="AD32" i="21"/>
  <c r="AD31" i="21"/>
  <c r="AD30" i="21"/>
  <c r="AD29" i="21"/>
  <c r="AD28" i="21"/>
  <c r="AD27" i="21"/>
  <c r="AD26" i="21"/>
  <c r="AD25" i="21"/>
  <c r="AD24" i="21"/>
  <c r="AD23" i="21"/>
  <c r="AD22" i="21"/>
  <c r="AD21" i="21"/>
  <c r="AD20" i="21"/>
  <c r="AD19" i="21"/>
  <c r="AD18" i="21"/>
  <c r="AD17" i="21"/>
  <c r="AD16" i="21"/>
  <c r="AD15" i="21"/>
  <c r="AD14" i="21"/>
  <c r="AD13" i="21"/>
  <c r="AD12" i="21"/>
  <c r="AD11" i="21"/>
  <c r="AD10" i="21"/>
  <c r="AD9" i="21"/>
  <c r="AD8" i="21"/>
  <c r="AM45" i="20"/>
  <c r="AD38" i="20"/>
  <c r="AD37" i="20"/>
  <c r="AD36" i="20"/>
  <c r="AD35" i="20"/>
  <c r="AD34" i="20"/>
  <c r="AD33" i="20"/>
  <c r="AD32" i="20"/>
  <c r="AD31" i="20"/>
  <c r="AD30" i="20"/>
  <c r="AD29" i="20"/>
  <c r="AD28" i="20"/>
  <c r="AD27" i="20"/>
  <c r="AD26" i="20"/>
  <c r="AD25" i="20"/>
  <c r="AD24" i="20"/>
  <c r="AD23" i="20"/>
  <c r="AD22" i="20"/>
  <c r="AD21" i="20"/>
  <c r="AD20" i="20"/>
  <c r="AD19" i="20"/>
  <c r="AD18" i="20"/>
  <c r="AD17" i="20"/>
  <c r="AD16" i="20"/>
  <c r="AD15" i="20"/>
  <c r="AD14" i="20"/>
  <c r="AD13" i="20"/>
  <c r="AD12" i="20"/>
  <c r="AD11" i="20"/>
  <c r="AG11" i="20" s="1"/>
  <c r="AD10" i="20"/>
  <c r="AD9" i="20"/>
  <c r="AD8" i="20"/>
  <c r="AQ45" i="20"/>
  <c r="AM44" i="19"/>
  <c r="AD37" i="19"/>
  <c r="AD36" i="19"/>
  <c r="AD35" i="19"/>
  <c r="AD34" i="19"/>
  <c r="AD33" i="19"/>
  <c r="AD32" i="19"/>
  <c r="AD31" i="19"/>
  <c r="AD30" i="19"/>
  <c r="AD29" i="19"/>
  <c r="AD28" i="19"/>
  <c r="AD27" i="19"/>
  <c r="AD26" i="19"/>
  <c r="AD25" i="19"/>
  <c r="AD24" i="19"/>
  <c r="AD23" i="19"/>
  <c r="AD22" i="19"/>
  <c r="AD21" i="19"/>
  <c r="AD20" i="19"/>
  <c r="AD19" i="19"/>
  <c r="AD18" i="19"/>
  <c r="AD17" i="19"/>
  <c r="AG17" i="19"/>
  <c r="L17" i="19" s="1"/>
  <c r="AD16" i="19"/>
  <c r="AD15" i="19"/>
  <c r="AD14" i="19"/>
  <c r="AD13" i="19"/>
  <c r="AD12" i="19"/>
  <c r="AD11" i="19"/>
  <c r="AD10" i="19"/>
  <c r="AD9" i="19"/>
  <c r="AD8" i="19"/>
  <c r="AM45" i="18"/>
  <c r="AD38" i="18"/>
  <c r="AD37" i="18"/>
  <c r="AD36" i="18"/>
  <c r="AD35" i="18"/>
  <c r="AD34" i="18"/>
  <c r="AD33" i="18"/>
  <c r="AD32" i="18"/>
  <c r="AD31" i="18"/>
  <c r="AD30" i="18"/>
  <c r="AD29" i="18"/>
  <c r="AD28" i="18"/>
  <c r="AD27" i="18"/>
  <c r="AD26" i="18"/>
  <c r="AD25" i="18"/>
  <c r="AD24" i="18"/>
  <c r="AD23" i="18"/>
  <c r="AD22" i="18"/>
  <c r="AD21" i="18"/>
  <c r="AD20" i="18"/>
  <c r="AD19" i="18"/>
  <c r="AD18" i="18"/>
  <c r="AD17" i="18"/>
  <c r="AD16" i="18"/>
  <c r="AD15" i="18"/>
  <c r="AD14" i="18"/>
  <c r="AD13" i="18"/>
  <c r="AD12" i="18"/>
  <c r="AD11" i="18"/>
  <c r="AD10" i="18"/>
  <c r="AD9" i="18"/>
  <c r="AD8" i="18"/>
  <c r="AM42" i="17"/>
  <c r="AD35" i="17"/>
  <c r="AD34" i="17"/>
  <c r="AD33" i="17"/>
  <c r="AD32" i="17"/>
  <c r="AD31" i="17"/>
  <c r="AD30" i="17"/>
  <c r="AD29" i="17"/>
  <c r="AD28" i="17"/>
  <c r="AD27" i="17"/>
  <c r="AD26" i="17"/>
  <c r="AD25" i="17"/>
  <c r="AD24" i="17"/>
  <c r="AD23" i="17"/>
  <c r="AD22" i="17"/>
  <c r="AD21" i="17"/>
  <c r="AD20" i="17"/>
  <c r="AD19" i="17"/>
  <c r="AG19" i="17"/>
  <c r="AD18" i="17"/>
  <c r="AD17" i="17"/>
  <c r="AD16" i="17"/>
  <c r="AD15" i="17"/>
  <c r="AD14" i="17"/>
  <c r="AD13" i="17"/>
  <c r="AD12" i="17"/>
  <c r="AD11" i="17"/>
  <c r="AD10" i="17"/>
  <c r="AD9" i="17"/>
  <c r="AD8" i="17"/>
  <c r="AQ42" i="17" s="1"/>
  <c r="AM45" i="6"/>
  <c r="AD38" i="6"/>
  <c r="AD37" i="6"/>
  <c r="AD36" i="6"/>
  <c r="AD35" i="6"/>
  <c r="AD34" i="6"/>
  <c r="AD33" i="6"/>
  <c r="AD32" i="6"/>
  <c r="AD31" i="6"/>
  <c r="AD30" i="6"/>
  <c r="AD29" i="6"/>
  <c r="AD28" i="6"/>
  <c r="AD27" i="6"/>
  <c r="AD26" i="6"/>
  <c r="AD25" i="6"/>
  <c r="AD24" i="6"/>
  <c r="AD23" i="6"/>
  <c r="AD22" i="6"/>
  <c r="AD21" i="6"/>
  <c r="AD20" i="6"/>
  <c r="AD19" i="6"/>
  <c r="AD18" i="6"/>
  <c r="AD17" i="6"/>
  <c r="AD16" i="6"/>
  <c r="AD15" i="6"/>
  <c r="AD14" i="6"/>
  <c r="AD13" i="6"/>
  <c r="AD12" i="6"/>
  <c r="AD11" i="6"/>
  <c r="AD9" i="6"/>
  <c r="AD8" i="6"/>
  <c r="H41" i="1"/>
  <c r="D2" i="17"/>
  <c r="D3" i="17"/>
  <c r="AT38" i="27"/>
  <c r="AT37" i="27"/>
  <c r="AT36" i="27"/>
  <c r="AT35" i="27"/>
  <c r="AT34" i="27"/>
  <c r="AT33" i="27"/>
  <c r="AT32" i="27"/>
  <c r="AT31" i="27"/>
  <c r="AT30" i="27"/>
  <c r="AT29" i="27"/>
  <c r="AT28" i="27"/>
  <c r="AT27" i="27"/>
  <c r="AT26" i="27"/>
  <c r="AT25" i="27"/>
  <c r="AT24" i="27"/>
  <c r="AT23" i="27"/>
  <c r="AT22" i="27"/>
  <c r="AT21" i="27"/>
  <c r="AT20" i="27"/>
  <c r="AT19" i="27"/>
  <c r="AT18" i="27"/>
  <c r="AT17" i="27"/>
  <c r="AT16" i="27"/>
  <c r="AT15" i="27"/>
  <c r="AT14" i="27"/>
  <c r="AT13" i="27"/>
  <c r="AT12" i="27"/>
  <c r="AT11" i="27"/>
  <c r="AT10" i="27"/>
  <c r="AT9" i="27"/>
  <c r="AT8" i="27"/>
  <c r="AT37" i="26"/>
  <c r="AT36" i="26"/>
  <c r="AT35" i="26"/>
  <c r="AT34" i="26"/>
  <c r="AT33" i="26"/>
  <c r="AT32" i="26"/>
  <c r="AT31" i="26"/>
  <c r="AT30" i="26"/>
  <c r="AT29" i="26"/>
  <c r="AT28" i="26"/>
  <c r="AT27" i="26"/>
  <c r="AT26" i="26"/>
  <c r="AT25" i="26"/>
  <c r="AT24" i="26"/>
  <c r="AT23" i="26"/>
  <c r="AT22" i="26"/>
  <c r="AT21" i="26"/>
  <c r="AT20" i="26"/>
  <c r="AT19" i="26"/>
  <c r="AT18" i="26"/>
  <c r="AT17" i="26"/>
  <c r="AT16" i="26"/>
  <c r="AT15" i="26"/>
  <c r="AT14" i="26"/>
  <c r="AT13" i="26"/>
  <c r="AT12" i="26"/>
  <c r="AT11" i="26"/>
  <c r="M51" i="26" s="1"/>
  <c r="S51" i="26" s="1"/>
  <c r="AT10" i="26"/>
  <c r="AT9" i="26"/>
  <c r="AT8" i="26"/>
  <c r="AT38" i="25"/>
  <c r="AT37" i="25"/>
  <c r="AT36" i="25"/>
  <c r="AT35" i="25"/>
  <c r="AT34" i="25"/>
  <c r="AT33" i="25"/>
  <c r="AT32" i="25"/>
  <c r="AT31" i="25"/>
  <c r="AT30" i="25"/>
  <c r="AT29" i="25"/>
  <c r="AT28" i="25"/>
  <c r="AT27" i="25"/>
  <c r="AT26" i="25"/>
  <c r="AT25" i="25"/>
  <c r="AT24" i="25"/>
  <c r="AT23" i="25"/>
  <c r="AT22" i="25"/>
  <c r="AT21" i="25"/>
  <c r="AT20" i="25"/>
  <c r="AT19" i="25"/>
  <c r="AT18" i="25"/>
  <c r="AT17" i="25"/>
  <c r="AT16" i="25"/>
  <c r="AT15" i="25"/>
  <c r="AT14" i="25"/>
  <c r="AT13" i="25"/>
  <c r="AT12" i="25"/>
  <c r="AT11" i="25"/>
  <c r="AT10" i="25"/>
  <c r="AT9" i="25"/>
  <c r="AT8" i="25"/>
  <c r="AT37" i="24"/>
  <c r="AT36" i="24"/>
  <c r="AT35" i="24"/>
  <c r="AT34" i="24"/>
  <c r="AT33" i="24"/>
  <c r="AT32" i="24"/>
  <c r="AT31" i="24"/>
  <c r="AT30" i="24"/>
  <c r="AT29" i="24"/>
  <c r="AT28" i="24"/>
  <c r="AT27" i="24"/>
  <c r="AT26" i="24"/>
  <c r="AT25" i="24"/>
  <c r="AT24" i="24"/>
  <c r="AT23" i="24"/>
  <c r="AT22" i="24"/>
  <c r="AT21" i="24"/>
  <c r="AT20" i="24"/>
  <c r="AT19" i="24"/>
  <c r="AT18" i="24"/>
  <c r="AT17" i="24"/>
  <c r="AT16" i="24"/>
  <c r="AT15" i="24"/>
  <c r="AT14" i="24"/>
  <c r="AT13" i="24"/>
  <c r="AT12" i="24"/>
  <c r="AT11" i="24"/>
  <c r="AT10" i="24"/>
  <c r="AT9" i="24"/>
  <c r="AT8" i="24"/>
  <c r="M51" i="24" s="1"/>
  <c r="S51" i="24" s="1"/>
  <c r="AT38" i="23"/>
  <c r="AT37" i="23"/>
  <c r="AT36" i="23"/>
  <c r="AT35" i="23"/>
  <c r="AT34" i="23"/>
  <c r="AT33" i="23"/>
  <c r="AT32" i="23"/>
  <c r="AT31" i="23"/>
  <c r="AT30" i="23"/>
  <c r="AT29" i="23"/>
  <c r="AT28" i="23"/>
  <c r="AT27" i="23"/>
  <c r="AT26" i="23"/>
  <c r="AT25" i="23"/>
  <c r="AT24" i="23"/>
  <c r="AT23" i="23"/>
  <c r="AT22" i="23"/>
  <c r="AT21" i="23"/>
  <c r="AT20" i="23"/>
  <c r="AT19" i="23"/>
  <c r="AT18" i="23"/>
  <c r="AT17" i="23"/>
  <c r="AT16" i="23"/>
  <c r="AT15" i="23"/>
  <c r="AT14" i="23"/>
  <c r="AT13" i="23"/>
  <c r="AT12" i="23"/>
  <c r="AT11" i="23"/>
  <c r="AT10" i="23"/>
  <c r="AT9" i="23"/>
  <c r="AT8" i="23"/>
  <c r="AT38" i="22"/>
  <c r="AT37" i="22"/>
  <c r="AT36" i="22"/>
  <c r="AT35" i="22"/>
  <c r="AT34" i="22"/>
  <c r="AT33" i="22"/>
  <c r="AT32" i="22"/>
  <c r="AT31" i="22"/>
  <c r="AT30" i="22"/>
  <c r="AT29" i="22"/>
  <c r="AT28" i="22"/>
  <c r="AT27" i="22"/>
  <c r="AT26" i="22"/>
  <c r="AT25" i="22"/>
  <c r="AT24" i="22"/>
  <c r="AT23" i="22"/>
  <c r="AT22" i="22"/>
  <c r="AT21" i="22"/>
  <c r="AT20" i="22"/>
  <c r="AT19" i="22"/>
  <c r="AT18" i="22"/>
  <c r="AT17" i="22"/>
  <c r="AT16" i="22"/>
  <c r="AT15" i="22"/>
  <c r="AT14" i="22"/>
  <c r="AT13" i="22"/>
  <c r="AT12" i="22"/>
  <c r="AT11" i="22"/>
  <c r="AT10" i="22"/>
  <c r="AT9" i="22"/>
  <c r="AT8" i="22"/>
  <c r="M52" i="22"/>
  <c r="S52" i="22" s="1"/>
  <c r="AT37" i="21"/>
  <c r="AT36" i="21"/>
  <c r="AT35" i="21"/>
  <c r="AT34" i="21"/>
  <c r="AT33" i="21"/>
  <c r="AT32" i="21"/>
  <c r="AT31" i="21"/>
  <c r="AT30" i="21"/>
  <c r="AT29" i="21"/>
  <c r="AT28" i="21"/>
  <c r="AT27" i="21"/>
  <c r="AT26" i="21"/>
  <c r="AT25" i="21"/>
  <c r="AT24" i="21"/>
  <c r="AT23" i="21"/>
  <c r="AT22" i="21"/>
  <c r="AT21" i="21"/>
  <c r="AT20" i="21"/>
  <c r="AT19" i="21"/>
  <c r="AT18" i="21"/>
  <c r="AT17" i="21"/>
  <c r="AT16" i="21"/>
  <c r="AT15" i="21"/>
  <c r="AT14" i="21"/>
  <c r="AT13" i="21"/>
  <c r="AT12" i="21"/>
  <c r="AT11" i="21"/>
  <c r="AT10" i="21"/>
  <c r="AT9" i="21"/>
  <c r="AT8" i="21"/>
  <c r="AT38" i="20"/>
  <c r="AT37" i="20"/>
  <c r="AT36" i="20"/>
  <c r="AT35" i="20"/>
  <c r="AT34" i="20"/>
  <c r="AT33" i="20"/>
  <c r="AT32" i="20"/>
  <c r="AT31" i="20"/>
  <c r="AT30" i="20"/>
  <c r="AT29" i="20"/>
  <c r="AT28" i="20"/>
  <c r="AT27" i="20"/>
  <c r="AT26" i="20"/>
  <c r="AT25" i="20"/>
  <c r="AT24" i="20"/>
  <c r="AT23" i="20"/>
  <c r="AT22" i="20"/>
  <c r="AT21" i="20"/>
  <c r="AT20" i="20"/>
  <c r="AT19" i="20"/>
  <c r="AT18" i="20"/>
  <c r="AT17" i="20"/>
  <c r="AT16" i="20"/>
  <c r="AT15" i="20"/>
  <c r="AT14" i="20"/>
  <c r="AT13" i="20"/>
  <c r="AT12" i="20"/>
  <c r="AT11" i="20"/>
  <c r="AT10" i="20"/>
  <c r="AT9" i="20"/>
  <c r="AT8" i="20"/>
  <c r="AT37" i="19"/>
  <c r="AT36" i="19"/>
  <c r="AT35" i="19"/>
  <c r="AT34" i="19"/>
  <c r="AT33" i="19"/>
  <c r="AT32" i="19"/>
  <c r="AT31" i="19"/>
  <c r="AT30" i="19"/>
  <c r="AT29" i="19"/>
  <c r="AT28" i="19"/>
  <c r="AT27" i="19"/>
  <c r="AT26" i="19"/>
  <c r="AT25" i="19"/>
  <c r="AT24" i="19"/>
  <c r="AT23" i="19"/>
  <c r="AT22" i="19"/>
  <c r="AT21" i="19"/>
  <c r="AT20" i="19"/>
  <c r="AT19" i="19"/>
  <c r="AT18" i="19"/>
  <c r="AT17" i="19"/>
  <c r="AT16" i="19"/>
  <c r="AT15" i="19"/>
  <c r="AT14" i="19"/>
  <c r="AT13" i="19"/>
  <c r="AT12" i="19"/>
  <c r="AT11" i="19"/>
  <c r="AT10" i="19"/>
  <c r="AT9" i="19"/>
  <c r="AT8" i="19"/>
  <c r="AT38" i="18"/>
  <c r="AT37" i="18"/>
  <c r="AT36" i="18"/>
  <c r="AT35" i="18"/>
  <c r="AT34" i="18"/>
  <c r="AT33" i="18"/>
  <c r="AT32" i="18"/>
  <c r="AT31" i="18"/>
  <c r="AT30" i="18"/>
  <c r="AT29" i="18"/>
  <c r="AT28" i="18"/>
  <c r="AT27" i="18"/>
  <c r="AT26" i="18"/>
  <c r="AT25" i="18"/>
  <c r="AT24" i="18"/>
  <c r="AT23" i="18"/>
  <c r="AT22" i="18"/>
  <c r="AT21" i="18"/>
  <c r="AT20" i="18"/>
  <c r="AT19" i="18"/>
  <c r="AT18" i="18"/>
  <c r="AT17" i="18"/>
  <c r="AT16" i="18"/>
  <c r="AT15" i="18"/>
  <c r="AT14" i="18"/>
  <c r="AT13" i="18"/>
  <c r="AT12" i="18"/>
  <c r="AT11" i="18"/>
  <c r="AT10" i="18"/>
  <c r="AT9" i="18"/>
  <c r="AT8" i="18"/>
  <c r="AT35" i="17"/>
  <c r="AT34" i="17"/>
  <c r="AT33" i="17"/>
  <c r="AT32" i="17"/>
  <c r="AT31" i="17"/>
  <c r="AT30" i="17"/>
  <c r="AT29" i="17"/>
  <c r="AT28" i="17"/>
  <c r="AT27" i="17"/>
  <c r="AT26" i="17"/>
  <c r="AT25" i="17"/>
  <c r="AT24" i="17"/>
  <c r="AT23" i="17"/>
  <c r="AT22" i="17"/>
  <c r="AT21" i="17"/>
  <c r="AT20" i="17"/>
  <c r="AT19" i="17"/>
  <c r="AT18" i="17"/>
  <c r="AT17" i="17"/>
  <c r="AT16" i="17"/>
  <c r="AT15" i="17"/>
  <c r="AT14" i="17"/>
  <c r="AT13" i="17"/>
  <c r="AT12" i="17"/>
  <c r="AT11" i="17"/>
  <c r="AT10" i="17"/>
  <c r="AT9" i="17"/>
  <c r="AT8" i="17"/>
  <c r="M50" i="17"/>
  <c r="S50" i="17" s="1"/>
  <c r="AT38" i="6"/>
  <c r="AT37" i="6"/>
  <c r="AT36" i="6"/>
  <c r="AT35" i="6"/>
  <c r="AT34" i="6"/>
  <c r="AT33" i="6"/>
  <c r="AT32" i="6"/>
  <c r="AT31" i="6"/>
  <c r="AT30" i="6"/>
  <c r="AT29" i="6"/>
  <c r="AT28" i="6"/>
  <c r="AT27" i="6"/>
  <c r="AT26" i="6"/>
  <c r="AT25" i="6"/>
  <c r="AT24" i="6"/>
  <c r="AT23" i="6"/>
  <c r="AT22" i="6"/>
  <c r="AT21" i="6"/>
  <c r="AT20" i="6"/>
  <c r="AT19" i="6"/>
  <c r="AT18" i="6"/>
  <c r="AT17" i="6"/>
  <c r="AT16" i="6"/>
  <c r="AT15" i="6"/>
  <c r="AT14" i="6"/>
  <c r="AT13" i="6"/>
  <c r="AT12" i="6"/>
  <c r="AT11" i="6"/>
  <c r="AT10" i="6"/>
  <c r="AT9" i="6"/>
  <c r="AT8" i="6"/>
  <c r="AS38" i="27"/>
  <c r="AS37" i="27"/>
  <c r="AS36" i="27"/>
  <c r="AS35" i="27"/>
  <c r="AS34" i="27"/>
  <c r="AS33" i="27"/>
  <c r="AS32" i="27"/>
  <c r="AS31" i="27"/>
  <c r="AS30" i="27"/>
  <c r="AS29" i="27"/>
  <c r="AS28" i="27"/>
  <c r="AS27" i="27"/>
  <c r="AS26" i="27"/>
  <c r="AS25" i="27"/>
  <c r="AS24" i="27"/>
  <c r="AS23" i="27"/>
  <c r="AS22" i="27"/>
  <c r="AS21" i="27"/>
  <c r="AS20" i="27"/>
  <c r="AS19" i="27"/>
  <c r="AS18" i="27"/>
  <c r="AS17" i="27"/>
  <c r="AS16" i="27"/>
  <c r="AS15" i="27"/>
  <c r="AS14" i="27"/>
  <c r="AS13" i="27"/>
  <c r="AS12" i="27"/>
  <c r="AS11" i="27"/>
  <c r="AS10" i="27"/>
  <c r="AS9" i="27"/>
  <c r="AS8" i="27"/>
  <c r="AS37" i="26"/>
  <c r="AS36" i="26"/>
  <c r="AS35" i="26"/>
  <c r="AS34" i="26"/>
  <c r="AS33" i="26"/>
  <c r="AS32" i="26"/>
  <c r="AS31" i="26"/>
  <c r="AS30" i="26"/>
  <c r="AS29" i="26"/>
  <c r="AS28" i="26"/>
  <c r="AS27" i="26"/>
  <c r="AS26" i="26"/>
  <c r="AS25" i="26"/>
  <c r="AS24" i="26"/>
  <c r="AS23" i="26"/>
  <c r="AS22" i="26"/>
  <c r="AS21" i="26"/>
  <c r="AS20" i="26"/>
  <c r="AS19" i="26"/>
  <c r="AS18" i="26"/>
  <c r="AS17" i="26"/>
  <c r="AS16" i="26"/>
  <c r="AS15" i="26"/>
  <c r="AS14" i="26"/>
  <c r="AS13" i="26"/>
  <c r="AS12" i="26"/>
  <c r="AS11" i="26"/>
  <c r="AS10" i="26"/>
  <c r="AS9" i="26"/>
  <c r="AS8" i="26"/>
  <c r="AS38" i="25"/>
  <c r="AS37" i="25"/>
  <c r="AS36" i="25"/>
  <c r="AS35" i="25"/>
  <c r="AS34" i="25"/>
  <c r="AS33" i="25"/>
  <c r="AS32" i="25"/>
  <c r="AS31" i="25"/>
  <c r="AS30" i="25"/>
  <c r="AS29" i="25"/>
  <c r="AS28" i="25"/>
  <c r="AS27" i="25"/>
  <c r="AS26" i="25"/>
  <c r="AS25" i="25"/>
  <c r="AS24" i="25"/>
  <c r="AS23" i="25"/>
  <c r="AS22" i="25"/>
  <c r="AS21" i="25"/>
  <c r="AS20" i="25"/>
  <c r="AS19" i="25"/>
  <c r="AS18" i="25"/>
  <c r="AS17" i="25"/>
  <c r="AS16" i="25"/>
  <c r="AS15" i="25"/>
  <c r="AS14" i="25"/>
  <c r="AS13" i="25"/>
  <c r="AS12" i="25"/>
  <c r="AS11" i="25"/>
  <c r="AS10" i="25"/>
  <c r="AS9" i="25"/>
  <c r="AS8" i="25"/>
  <c r="AS37" i="24"/>
  <c r="AS36" i="24"/>
  <c r="AS35" i="24"/>
  <c r="AS34" i="24"/>
  <c r="AS33" i="24"/>
  <c r="AS32" i="24"/>
  <c r="AS31" i="24"/>
  <c r="AS30" i="24"/>
  <c r="AS29" i="24"/>
  <c r="AS28" i="24"/>
  <c r="AS27" i="24"/>
  <c r="AS26" i="24"/>
  <c r="AS25" i="24"/>
  <c r="AS24" i="24"/>
  <c r="AS23" i="24"/>
  <c r="AS22" i="24"/>
  <c r="AS21" i="24"/>
  <c r="AS20" i="24"/>
  <c r="AS19" i="24"/>
  <c r="AS18" i="24"/>
  <c r="AS17" i="24"/>
  <c r="AS16" i="24"/>
  <c r="AS15" i="24"/>
  <c r="AS14" i="24"/>
  <c r="AS13" i="24"/>
  <c r="AS12" i="24"/>
  <c r="AS11" i="24"/>
  <c r="AS10" i="24"/>
  <c r="AS9" i="24"/>
  <c r="AS8" i="24"/>
  <c r="M55" i="24" s="1"/>
  <c r="AS38" i="23"/>
  <c r="AS37" i="23"/>
  <c r="AS36" i="23"/>
  <c r="AS35" i="23"/>
  <c r="AS34" i="23"/>
  <c r="AS33" i="23"/>
  <c r="AS32" i="23"/>
  <c r="AS31" i="23"/>
  <c r="AS30" i="23"/>
  <c r="AS29" i="23"/>
  <c r="AS28" i="23"/>
  <c r="AS27" i="23"/>
  <c r="AS26" i="23"/>
  <c r="AS25" i="23"/>
  <c r="AS24" i="23"/>
  <c r="AS23" i="23"/>
  <c r="AS22" i="23"/>
  <c r="AS21" i="23"/>
  <c r="AS20" i="23"/>
  <c r="AS19" i="23"/>
  <c r="AS18" i="23"/>
  <c r="AS17" i="23"/>
  <c r="AS16" i="23"/>
  <c r="AS15" i="23"/>
  <c r="AS14" i="23"/>
  <c r="AS13" i="23"/>
  <c r="AS12" i="23"/>
  <c r="AS11" i="23"/>
  <c r="AS10" i="23"/>
  <c r="AS9" i="23"/>
  <c r="AS8" i="23"/>
  <c r="AS38" i="22"/>
  <c r="AS37" i="22"/>
  <c r="AS36" i="22"/>
  <c r="AS35" i="22"/>
  <c r="AS34" i="22"/>
  <c r="AS33" i="22"/>
  <c r="AS32" i="22"/>
  <c r="AS31" i="22"/>
  <c r="AS30" i="22"/>
  <c r="AS29" i="22"/>
  <c r="AS28" i="22"/>
  <c r="AS27" i="22"/>
  <c r="AS26" i="22"/>
  <c r="AS25" i="22"/>
  <c r="AS24" i="22"/>
  <c r="AS23" i="22"/>
  <c r="AS22" i="22"/>
  <c r="AS21" i="22"/>
  <c r="AS20" i="22"/>
  <c r="AS19" i="22"/>
  <c r="AS18" i="22"/>
  <c r="AS17" i="22"/>
  <c r="AS16" i="22"/>
  <c r="AS15" i="22"/>
  <c r="AS14" i="22"/>
  <c r="AS13" i="22"/>
  <c r="AS12" i="22"/>
  <c r="AS11" i="22"/>
  <c r="AS10" i="22"/>
  <c r="AS9" i="22"/>
  <c r="AS8" i="22"/>
  <c r="AS37" i="21"/>
  <c r="AS36" i="21"/>
  <c r="AS35" i="21"/>
  <c r="AS34" i="21"/>
  <c r="AS33" i="21"/>
  <c r="AS32" i="21"/>
  <c r="AS31" i="21"/>
  <c r="AS30" i="21"/>
  <c r="AS29" i="21"/>
  <c r="AS28" i="21"/>
  <c r="AS27" i="21"/>
  <c r="AS26" i="21"/>
  <c r="AS25" i="21"/>
  <c r="AS24" i="21"/>
  <c r="AS23" i="21"/>
  <c r="AS22" i="21"/>
  <c r="AS21" i="21"/>
  <c r="AS20" i="21"/>
  <c r="AS19" i="21"/>
  <c r="AS18" i="21"/>
  <c r="AS17" i="21"/>
  <c r="AS16" i="21"/>
  <c r="AS15" i="21"/>
  <c r="AS14" i="21"/>
  <c r="AS13" i="21"/>
  <c r="AS12" i="21"/>
  <c r="AS11" i="21"/>
  <c r="AS10" i="21"/>
  <c r="AS9" i="21"/>
  <c r="AS8" i="21"/>
  <c r="AS38" i="20"/>
  <c r="AS37" i="20"/>
  <c r="AS36" i="20"/>
  <c r="AS35" i="20"/>
  <c r="AS34" i="20"/>
  <c r="AS33" i="20"/>
  <c r="AS32" i="20"/>
  <c r="AS31" i="20"/>
  <c r="AS30" i="20"/>
  <c r="AS29" i="20"/>
  <c r="AS28" i="20"/>
  <c r="AS27" i="20"/>
  <c r="AS26" i="20"/>
  <c r="AS25" i="20"/>
  <c r="AS24" i="20"/>
  <c r="AS23" i="20"/>
  <c r="AS22" i="20"/>
  <c r="AS21" i="20"/>
  <c r="AS20" i="20"/>
  <c r="AS19" i="20"/>
  <c r="AS18" i="20"/>
  <c r="AS17" i="20"/>
  <c r="AS16" i="20"/>
  <c r="AS15" i="20"/>
  <c r="AS14" i="20"/>
  <c r="AS13" i="20"/>
  <c r="AS12" i="20"/>
  <c r="AS11" i="20"/>
  <c r="AS10" i="20"/>
  <c r="AS9" i="20"/>
  <c r="AS8" i="20"/>
  <c r="AS37" i="19"/>
  <c r="AS36" i="19"/>
  <c r="AS35" i="19"/>
  <c r="AS34" i="19"/>
  <c r="AS33" i="19"/>
  <c r="AS32" i="19"/>
  <c r="AS31" i="19"/>
  <c r="AS30" i="19"/>
  <c r="AS29" i="19"/>
  <c r="AS28" i="19"/>
  <c r="AS27" i="19"/>
  <c r="AS26" i="19"/>
  <c r="AS25" i="19"/>
  <c r="AS24" i="19"/>
  <c r="AS23" i="19"/>
  <c r="AS22" i="19"/>
  <c r="AS21" i="19"/>
  <c r="AS20" i="19"/>
  <c r="AS19" i="19"/>
  <c r="AS18" i="19"/>
  <c r="AS17" i="19"/>
  <c r="AS16" i="19"/>
  <c r="AS15" i="19"/>
  <c r="AS14" i="19"/>
  <c r="AS13" i="19"/>
  <c r="AS12" i="19"/>
  <c r="AS11" i="19"/>
  <c r="AS10" i="19"/>
  <c r="M55" i="19" s="1"/>
  <c r="AS9" i="19"/>
  <c r="AS8" i="19"/>
  <c r="AS38" i="18"/>
  <c r="AS37" i="18"/>
  <c r="AS36" i="18"/>
  <c r="AS35" i="18"/>
  <c r="AS34" i="18"/>
  <c r="AS33" i="18"/>
  <c r="AS32" i="18"/>
  <c r="AS31" i="18"/>
  <c r="AS30" i="18"/>
  <c r="AS29" i="18"/>
  <c r="AS28" i="18"/>
  <c r="AS27" i="18"/>
  <c r="AS26" i="18"/>
  <c r="AS25" i="18"/>
  <c r="AS24" i="18"/>
  <c r="AS23" i="18"/>
  <c r="AS22" i="18"/>
  <c r="AS21" i="18"/>
  <c r="AS20" i="18"/>
  <c r="AS19" i="18"/>
  <c r="AS18" i="18"/>
  <c r="AS17" i="18"/>
  <c r="AS16" i="18"/>
  <c r="AS15" i="18"/>
  <c r="AS14" i="18"/>
  <c r="AS13" i="18"/>
  <c r="AS12" i="18"/>
  <c r="AS11" i="18"/>
  <c r="AS10" i="18"/>
  <c r="M56" i="18" s="1"/>
  <c r="AS9" i="18"/>
  <c r="AS8" i="18"/>
  <c r="AS35" i="17"/>
  <c r="AS34" i="17"/>
  <c r="AS33" i="17"/>
  <c r="AS32" i="17"/>
  <c r="AS31" i="17"/>
  <c r="AS30" i="17"/>
  <c r="AS29" i="17"/>
  <c r="AS28" i="17"/>
  <c r="AS27" i="17"/>
  <c r="AS26" i="17"/>
  <c r="AS25" i="17"/>
  <c r="AS24" i="17"/>
  <c r="AS23" i="17"/>
  <c r="AS22" i="17"/>
  <c r="AS21" i="17"/>
  <c r="AS20" i="17"/>
  <c r="AS19" i="17"/>
  <c r="AS18" i="17"/>
  <c r="AS17" i="17"/>
  <c r="AS16" i="17"/>
  <c r="AS15" i="17"/>
  <c r="AS14" i="17"/>
  <c r="AS13" i="17"/>
  <c r="AS12" i="17"/>
  <c r="AS11" i="17"/>
  <c r="AS10" i="17"/>
  <c r="AS9" i="17"/>
  <c r="AS8" i="17"/>
  <c r="AS38" i="6"/>
  <c r="AS37" i="6"/>
  <c r="AS36" i="6"/>
  <c r="AS35" i="6"/>
  <c r="AS34" i="6"/>
  <c r="AS33" i="6"/>
  <c r="AS32" i="6"/>
  <c r="AS31" i="6"/>
  <c r="AS30" i="6"/>
  <c r="AS29" i="6"/>
  <c r="AS28" i="6"/>
  <c r="AS27" i="6"/>
  <c r="AS26" i="6"/>
  <c r="AS25" i="6"/>
  <c r="AS24" i="6"/>
  <c r="AS23" i="6"/>
  <c r="AS22" i="6"/>
  <c r="AS21" i="6"/>
  <c r="AS20" i="6"/>
  <c r="AS19" i="6"/>
  <c r="AS18" i="6"/>
  <c r="AS17" i="6"/>
  <c r="AS16" i="6"/>
  <c r="AS15" i="6"/>
  <c r="AS14" i="6"/>
  <c r="AS13" i="6"/>
  <c r="AS12" i="6"/>
  <c r="AS11" i="6"/>
  <c r="AS10" i="6"/>
  <c r="AS9" i="6"/>
  <c r="AS8" i="6"/>
  <c r="W56" i="27"/>
  <c r="W55" i="27"/>
  <c r="W54" i="27"/>
  <c r="W52" i="27"/>
  <c r="W51" i="27"/>
  <c r="W50" i="27"/>
  <c r="W49" i="27"/>
  <c r="W48" i="27"/>
  <c r="W47" i="27"/>
  <c r="W43" i="27"/>
  <c r="X38" i="27"/>
  <c r="X37" i="27"/>
  <c r="X36" i="27"/>
  <c r="X35" i="27"/>
  <c r="X34" i="27"/>
  <c r="X33" i="27"/>
  <c r="X32" i="27"/>
  <c r="X31" i="27"/>
  <c r="X30" i="27"/>
  <c r="X29" i="27"/>
  <c r="X28" i="27"/>
  <c r="X27" i="27"/>
  <c r="X26" i="27"/>
  <c r="X25" i="27"/>
  <c r="X24" i="27"/>
  <c r="X23" i="27"/>
  <c r="X22" i="27"/>
  <c r="X21" i="27"/>
  <c r="X20" i="27"/>
  <c r="X19" i="27"/>
  <c r="X18" i="27"/>
  <c r="X17" i="27"/>
  <c r="X16" i="27"/>
  <c r="X15" i="27"/>
  <c r="X14" i="27"/>
  <c r="X13" i="27"/>
  <c r="X12" i="27"/>
  <c r="X11" i="27"/>
  <c r="X10" i="27"/>
  <c r="X9" i="27"/>
  <c r="X8" i="27"/>
  <c r="M3" i="27"/>
  <c r="W56" i="26"/>
  <c r="W55" i="26"/>
  <c r="W54" i="26"/>
  <c r="W53" i="26"/>
  <c r="W51" i="26"/>
  <c r="W50" i="26"/>
  <c r="W49" i="26"/>
  <c r="W48" i="26"/>
  <c r="W47" i="26"/>
  <c r="W46" i="26"/>
  <c r="W45" i="26"/>
  <c r="W42" i="26"/>
  <c r="X37" i="26"/>
  <c r="X36" i="26"/>
  <c r="X35" i="26"/>
  <c r="X34" i="26"/>
  <c r="X33" i="26"/>
  <c r="X32" i="26"/>
  <c r="X31" i="26"/>
  <c r="X30" i="26"/>
  <c r="X29" i="26"/>
  <c r="X28" i="26"/>
  <c r="X27" i="26"/>
  <c r="X26" i="26"/>
  <c r="X25" i="26"/>
  <c r="X24" i="26"/>
  <c r="X23" i="26"/>
  <c r="X22" i="26"/>
  <c r="X21" i="26"/>
  <c r="X20" i="26"/>
  <c r="X19" i="26"/>
  <c r="X18" i="26"/>
  <c r="X17" i="26"/>
  <c r="X16" i="26"/>
  <c r="X15" i="26"/>
  <c r="X14" i="26"/>
  <c r="X13" i="26"/>
  <c r="X12" i="26"/>
  <c r="X11" i="26"/>
  <c r="X10" i="26"/>
  <c r="X9" i="26"/>
  <c r="X8" i="26"/>
  <c r="M3" i="26"/>
  <c r="W57" i="25"/>
  <c r="W56" i="25"/>
  <c r="W55" i="25"/>
  <c r="W54" i="25"/>
  <c r="W52" i="25"/>
  <c r="W51" i="25"/>
  <c r="W50" i="25"/>
  <c r="W49" i="25"/>
  <c r="W48" i="25"/>
  <c r="W47" i="25"/>
  <c r="W46" i="25"/>
  <c r="W43" i="25"/>
  <c r="X38" i="25"/>
  <c r="X37" i="25"/>
  <c r="X36" i="25"/>
  <c r="X35" i="25"/>
  <c r="X34" i="25"/>
  <c r="X33" i="25"/>
  <c r="X32" i="25"/>
  <c r="X31" i="25"/>
  <c r="X30" i="25"/>
  <c r="X29" i="25"/>
  <c r="X28" i="25"/>
  <c r="X27" i="25"/>
  <c r="X26" i="25"/>
  <c r="X25" i="25"/>
  <c r="X24" i="25"/>
  <c r="X23" i="25"/>
  <c r="X22" i="25"/>
  <c r="X21" i="25"/>
  <c r="X20" i="25"/>
  <c r="X19" i="25"/>
  <c r="X18" i="25"/>
  <c r="X17" i="25"/>
  <c r="X16" i="25"/>
  <c r="X15" i="25"/>
  <c r="X14" i="25"/>
  <c r="X13" i="25"/>
  <c r="X12" i="25"/>
  <c r="X11" i="25"/>
  <c r="X10" i="25"/>
  <c r="X9" i="25"/>
  <c r="X8" i="25"/>
  <c r="M46" i="25"/>
  <c r="M3" i="25"/>
  <c r="W56" i="24"/>
  <c r="W55" i="24"/>
  <c r="W54" i="24"/>
  <c r="W53" i="24"/>
  <c r="W51" i="24"/>
  <c r="W50" i="24"/>
  <c r="W49" i="24"/>
  <c r="W48" i="24"/>
  <c r="W47" i="24"/>
  <c r="W46" i="24"/>
  <c r="W45" i="24"/>
  <c r="W42" i="24"/>
  <c r="X37" i="24"/>
  <c r="X36" i="24"/>
  <c r="X35" i="24"/>
  <c r="X34" i="24"/>
  <c r="X33" i="24"/>
  <c r="X32" i="24"/>
  <c r="X31" i="24"/>
  <c r="X30" i="24"/>
  <c r="X29" i="24"/>
  <c r="X28" i="24"/>
  <c r="X27" i="24"/>
  <c r="X26" i="24"/>
  <c r="X25" i="24"/>
  <c r="X24" i="24"/>
  <c r="X23" i="24"/>
  <c r="X22" i="24"/>
  <c r="X21" i="24"/>
  <c r="X20" i="24"/>
  <c r="X19" i="24"/>
  <c r="X18" i="24"/>
  <c r="X17" i="24"/>
  <c r="X16" i="24"/>
  <c r="X15" i="24"/>
  <c r="X14" i="24"/>
  <c r="X13" i="24"/>
  <c r="X12" i="24"/>
  <c r="X11" i="24"/>
  <c r="X10" i="24"/>
  <c r="X9" i="24"/>
  <c r="X8" i="24"/>
  <c r="M3" i="24"/>
  <c r="W57" i="23"/>
  <c r="W56" i="23"/>
  <c r="W55" i="23"/>
  <c r="W54" i="23"/>
  <c r="W52" i="23"/>
  <c r="W51" i="23"/>
  <c r="W50" i="23"/>
  <c r="W49" i="23"/>
  <c r="W48" i="23"/>
  <c r="W47" i="23"/>
  <c r="W46" i="23"/>
  <c r="W43" i="23"/>
  <c r="X38" i="23"/>
  <c r="X37" i="23"/>
  <c r="X36" i="23"/>
  <c r="X35" i="23"/>
  <c r="X34" i="23"/>
  <c r="X33" i="23"/>
  <c r="X32" i="23"/>
  <c r="X31" i="23"/>
  <c r="X30" i="23"/>
  <c r="X29" i="23"/>
  <c r="X28" i="23"/>
  <c r="X27" i="23"/>
  <c r="X26" i="23"/>
  <c r="X25" i="23"/>
  <c r="X24" i="23"/>
  <c r="X23" i="23"/>
  <c r="X22" i="23"/>
  <c r="X21" i="23"/>
  <c r="X20" i="23"/>
  <c r="X19" i="23"/>
  <c r="X18" i="23"/>
  <c r="X17" i="23"/>
  <c r="X16" i="23"/>
  <c r="X15" i="23"/>
  <c r="X14" i="23"/>
  <c r="X13" i="23"/>
  <c r="X12" i="23"/>
  <c r="X11" i="23"/>
  <c r="X10" i="23"/>
  <c r="X9" i="23"/>
  <c r="X8" i="23"/>
  <c r="M3" i="23"/>
  <c r="W57" i="22"/>
  <c r="W56" i="22"/>
  <c r="W55" i="22"/>
  <c r="W54" i="22"/>
  <c r="W52" i="22"/>
  <c r="W51" i="22"/>
  <c r="W50" i="22"/>
  <c r="W49" i="22"/>
  <c r="W48" i="22"/>
  <c r="W47" i="22"/>
  <c r="W46" i="22"/>
  <c r="W43" i="22"/>
  <c r="X38" i="22"/>
  <c r="X37" i="22"/>
  <c r="X36" i="22"/>
  <c r="X35" i="22"/>
  <c r="X34" i="22"/>
  <c r="X33" i="22"/>
  <c r="X32" i="22"/>
  <c r="X31" i="22"/>
  <c r="X30" i="22"/>
  <c r="X29" i="22"/>
  <c r="X28" i="22"/>
  <c r="X27" i="22"/>
  <c r="X26" i="22"/>
  <c r="X25" i="22"/>
  <c r="X24" i="22"/>
  <c r="X23" i="22"/>
  <c r="X22" i="22"/>
  <c r="X21" i="22"/>
  <c r="X20" i="22"/>
  <c r="X19" i="22"/>
  <c r="X18" i="22"/>
  <c r="X17" i="22"/>
  <c r="X16" i="22"/>
  <c r="X15" i="22"/>
  <c r="X14" i="22"/>
  <c r="X13" i="22"/>
  <c r="X12" i="22"/>
  <c r="X11" i="22"/>
  <c r="X10" i="22"/>
  <c r="X9" i="22"/>
  <c r="X8" i="22"/>
  <c r="M3" i="22"/>
  <c r="W56" i="21"/>
  <c r="W55" i="21"/>
  <c r="W54" i="21"/>
  <c r="W53" i="21"/>
  <c r="W51" i="21"/>
  <c r="W50" i="21"/>
  <c r="W49" i="21"/>
  <c r="W48" i="21"/>
  <c r="W47" i="21"/>
  <c r="W46" i="21"/>
  <c r="W45" i="21"/>
  <c r="W42" i="21"/>
  <c r="X37" i="21"/>
  <c r="X36" i="21"/>
  <c r="X35" i="21"/>
  <c r="X34" i="21"/>
  <c r="X33" i="21"/>
  <c r="X32" i="21"/>
  <c r="X31" i="21"/>
  <c r="X30" i="21"/>
  <c r="X29" i="21"/>
  <c r="X28" i="21"/>
  <c r="X27" i="21"/>
  <c r="X26" i="21"/>
  <c r="X25" i="21"/>
  <c r="X24" i="21"/>
  <c r="X23" i="21"/>
  <c r="X22" i="21"/>
  <c r="X21" i="21"/>
  <c r="X20" i="21"/>
  <c r="X19" i="21"/>
  <c r="X18" i="21"/>
  <c r="X17" i="21"/>
  <c r="X16" i="21"/>
  <c r="X15" i="21"/>
  <c r="X14" i="21"/>
  <c r="X13" i="21"/>
  <c r="X12" i="21"/>
  <c r="X11" i="21"/>
  <c r="X10" i="21"/>
  <c r="X9" i="21"/>
  <c r="X8" i="21"/>
  <c r="M3" i="21"/>
  <c r="W57" i="20"/>
  <c r="W56" i="20"/>
  <c r="W55" i="20"/>
  <c r="W54" i="20"/>
  <c r="W52" i="20"/>
  <c r="W51" i="20"/>
  <c r="W50" i="20"/>
  <c r="W49" i="20"/>
  <c r="W48" i="20"/>
  <c r="W47" i="20"/>
  <c r="W46" i="20"/>
  <c r="W43" i="20"/>
  <c r="X38" i="20"/>
  <c r="X37" i="20"/>
  <c r="X36" i="20"/>
  <c r="X35" i="20"/>
  <c r="X34" i="20"/>
  <c r="X33" i="20"/>
  <c r="X32" i="20"/>
  <c r="X31" i="20"/>
  <c r="X30" i="20"/>
  <c r="X29" i="20"/>
  <c r="X28" i="20"/>
  <c r="X27" i="20"/>
  <c r="X26" i="20"/>
  <c r="X25" i="20"/>
  <c r="X24" i="20"/>
  <c r="X23" i="20"/>
  <c r="X22" i="20"/>
  <c r="X21" i="20"/>
  <c r="X20" i="20"/>
  <c r="X19" i="20"/>
  <c r="X18" i="20"/>
  <c r="X17" i="20"/>
  <c r="X16" i="20"/>
  <c r="X15" i="20"/>
  <c r="X14" i="20"/>
  <c r="X13" i="20"/>
  <c r="X12" i="20"/>
  <c r="X11" i="20"/>
  <c r="X10" i="20"/>
  <c r="M46" i="20" s="1"/>
  <c r="X9" i="20"/>
  <c r="X8" i="20"/>
  <c r="M3" i="20"/>
  <c r="W56" i="19"/>
  <c r="W55" i="19"/>
  <c r="W54" i="19"/>
  <c r="W53" i="19"/>
  <c r="W51" i="19"/>
  <c r="W50" i="19"/>
  <c r="W49" i="19"/>
  <c r="W48" i="19"/>
  <c r="W47" i="19"/>
  <c r="W46" i="19"/>
  <c r="W45" i="19"/>
  <c r="W42" i="19"/>
  <c r="X37" i="19"/>
  <c r="X36" i="19"/>
  <c r="X35" i="19"/>
  <c r="X34" i="19"/>
  <c r="X33" i="19"/>
  <c r="X32" i="19"/>
  <c r="X31" i="19"/>
  <c r="X30" i="19"/>
  <c r="X29" i="19"/>
  <c r="X28" i="19"/>
  <c r="X27" i="19"/>
  <c r="X26" i="19"/>
  <c r="X25" i="19"/>
  <c r="X24" i="19"/>
  <c r="X23" i="19"/>
  <c r="X22" i="19"/>
  <c r="X21" i="19"/>
  <c r="X20" i="19"/>
  <c r="X19" i="19"/>
  <c r="X18" i="19"/>
  <c r="X17" i="19"/>
  <c r="X16" i="19"/>
  <c r="X15" i="19"/>
  <c r="X14" i="19"/>
  <c r="X13" i="19"/>
  <c r="X12" i="19"/>
  <c r="X11" i="19"/>
  <c r="X10" i="19"/>
  <c r="X9" i="19"/>
  <c r="X8" i="19"/>
  <c r="M3" i="19"/>
  <c r="W57" i="18"/>
  <c r="W56" i="18"/>
  <c r="W55" i="18"/>
  <c r="W54" i="18"/>
  <c r="W52" i="18"/>
  <c r="W51" i="18"/>
  <c r="W50" i="18"/>
  <c r="W49" i="18"/>
  <c r="W48" i="18"/>
  <c r="W47" i="18"/>
  <c r="W46" i="18"/>
  <c r="W43" i="18"/>
  <c r="X38" i="18"/>
  <c r="X37" i="18"/>
  <c r="X36" i="18"/>
  <c r="X35" i="18"/>
  <c r="X34" i="18"/>
  <c r="X33" i="18"/>
  <c r="X32" i="18"/>
  <c r="X31" i="18"/>
  <c r="X30" i="18"/>
  <c r="X29" i="18"/>
  <c r="X28" i="18"/>
  <c r="X27" i="18"/>
  <c r="X26" i="18"/>
  <c r="X25" i="18"/>
  <c r="X24" i="18"/>
  <c r="X23" i="18"/>
  <c r="X22" i="18"/>
  <c r="X21" i="18"/>
  <c r="X20" i="18"/>
  <c r="X19" i="18"/>
  <c r="X18" i="18"/>
  <c r="X17" i="18"/>
  <c r="X16" i="18"/>
  <c r="X15" i="18"/>
  <c r="X14" i="18"/>
  <c r="X13" i="18"/>
  <c r="X12" i="18"/>
  <c r="X11" i="18"/>
  <c r="X10" i="18"/>
  <c r="X9" i="18"/>
  <c r="X8" i="18"/>
  <c r="M46" i="18" s="1"/>
  <c r="M3" i="18"/>
  <c r="W55" i="17"/>
  <c r="W54" i="17"/>
  <c r="W53" i="17"/>
  <c r="W52" i="17"/>
  <c r="W50" i="17"/>
  <c r="W49" i="17"/>
  <c r="W48" i="17"/>
  <c r="W47" i="17"/>
  <c r="W46" i="17"/>
  <c r="W45" i="17"/>
  <c r="W44" i="17"/>
  <c r="W41" i="17"/>
  <c r="X35" i="17"/>
  <c r="X34" i="17"/>
  <c r="X33" i="17"/>
  <c r="X32" i="17"/>
  <c r="X31" i="17"/>
  <c r="X30" i="17"/>
  <c r="X29" i="17"/>
  <c r="X28" i="17"/>
  <c r="X27" i="17"/>
  <c r="X26" i="17"/>
  <c r="X25" i="17"/>
  <c r="X24" i="17"/>
  <c r="X23" i="17"/>
  <c r="X22" i="17"/>
  <c r="X21" i="17"/>
  <c r="X20" i="17"/>
  <c r="X19" i="17"/>
  <c r="X18" i="17"/>
  <c r="X17" i="17"/>
  <c r="X16" i="17"/>
  <c r="X15" i="17"/>
  <c r="X14" i="17"/>
  <c r="X13" i="17"/>
  <c r="X12" i="17"/>
  <c r="X11" i="17"/>
  <c r="X10" i="17"/>
  <c r="X9" i="17"/>
  <c r="X8" i="17"/>
  <c r="W57" i="6"/>
  <c r="W56" i="6"/>
  <c r="W55" i="6"/>
  <c r="W54" i="6"/>
  <c r="W52" i="6"/>
  <c r="W51" i="6"/>
  <c r="W50" i="6"/>
  <c r="W49" i="6"/>
  <c r="W48" i="6"/>
  <c r="W47" i="6"/>
  <c r="W46" i="6"/>
  <c r="W43" i="6"/>
  <c r="X38" i="6"/>
  <c r="X37" i="6"/>
  <c r="X36" i="6"/>
  <c r="X35" i="6"/>
  <c r="X34" i="6"/>
  <c r="X33" i="6"/>
  <c r="X32" i="6"/>
  <c r="X31" i="6"/>
  <c r="X30" i="6"/>
  <c r="X29" i="6"/>
  <c r="X28" i="6"/>
  <c r="X27" i="6"/>
  <c r="X26" i="6"/>
  <c r="X25" i="6"/>
  <c r="X24" i="6"/>
  <c r="X23" i="6"/>
  <c r="X22" i="6"/>
  <c r="X21" i="6"/>
  <c r="X20" i="6"/>
  <c r="X19" i="6"/>
  <c r="X18" i="6"/>
  <c r="X17" i="6"/>
  <c r="X16" i="6"/>
  <c r="X15" i="6"/>
  <c r="X14" i="6"/>
  <c r="X13" i="6"/>
  <c r="X12" i="6"/>
  <c r="X11" i="6"/>
  <c r="X10" i="6"/>
  <c r="X9" i="6"/>
  <c r="X8" i="6"/>
  <c r="D2" i="27"/>
  <c r="D2" i="26"/>
  <c r="D2" i="25"/>
  <c r="D2" i="24"/>
  <c r="D2" i="23"/>
  <c r="D2" i="22"/>
  <c r="D2" i="21"/>
  <c r="D2" i="20"/>
  <c r="D2" i="19"/>
  <c r="D2" i="18"/>
  <c r="D2" i="6"/>
  <c r="AF38" i="27"/>
  <c r="AF37" i="27"/>
  <c r="AF36" i="27"/>
  <c r="AF35" i="27"/>
  <c r="AF34" i="27"/>
  <c r="AF33" i="27"/>
  <c r="AF32" i="27"/>
  <c r="AF31" i="27"/>
  <c r="AF30" i="27"/>
  <c r="AF29" i="27"/>
  <c r="AF28" i="27"/>
  <c r="AF27" i="27"/>
  <c r="AF26" i="27"/>
  <c r="AF25" i="27"/>
  <c r="AF24" i="27"/>
  <c r="AF23" i="27"/>
  <c r="AG23" i="27"/>
  <c r="AF22" i="27"/>
  <c r="AF21" i="27"/>
  <c r="AF20" i="27"/>
  <c r="AF19" i="27"/>
  <c r="AF18" i="27"/>
  <c r="AF17" i="27"/>
  <c r="AF16" i="27"/>
  <c r="AF15" i="27"/>
  <c r="AG15" i="27" s="1"/>
  <c r="AF14" i="27"/>
  <c r="AF13" i="27"/>
  <c r="AF12" i="27"/>
  <c r="AG12" i="27"/>
  <c r="AF11" i="27"/>
  <c r="AF10" i="27"/>
  <c r="AF9" i="27"/>
  <c r="AF8" i="27"/>
  <c r="AF37" i="26"/>
  <c r="AF36" i="26"/>
  <c r="AF35" i="26"/>
  <c r="AF34" i="26"/>
  <c r="AF33" i="26"/>
  <c r="AF32" i="26"/>
  <c r="AF31" i="26"/>
  <c r="AF30" i="26"/>
  <c r="AF29" i="26"/>
  <c r="AF28" i="26"/>
  <c r="AF27" i="26"/>
  <c r="AF26" i="26"/>
  <c r="AF25" i="26"/>
  <c r="AF24" i="26"/>
  <c r="AF23" i="26"/>
  <c r="AF22" i="26"/>
  <c r="AF21" i="26"/>
  <c r="AF20" i="26"/>
  <c r="AF19" i="26"/>
  <c r="AF18" i="26"/>
  <c r="AF17" i="26"/>
  <c r="AF16" i="26"/>
  <c r="AF15" i="26"/>
  <c r="AF14" i="26"/>
  <c r="AF13" i="26"/>
  <c r="AF12" i="26"/>
  <c r="AF11" i="26"/>
  <c r="AF10" i="26"/>
  <c r="AF9" i="26"/>
  <c r="AF8" i="26"/>
  <c r="AF38" i="25"/>
  <c r="AF37" i="25"/>
  <c r="AF36" i="25"/>
  <c r="AF35" i="25"/>
  <c r="AF34" i="25"/>
  <c r="AF33" i="25"/>
  <c r="AF32" i="25"/>
  <c r="AF31" i="25"/>
  <c r="AG31" i="25"/>
  <c r="AF30" i="25"/>
  <c r="AF29" i="25"/>
  <c r="AF28" i="25"/>
  <c r="AF27" i="25"/>
  <c r="AF26" i="25"/>
  <c r="AF25" i="25"/>
  <c r="AF24" i="25"/>
  <c r="AF23" i="25"/>
  <c r="AF22" i="25"/>
  <c r="AF21" i="25"/>
  <c r="AF20" i="25"/>
  <c r="AF19" i="25"/>
  <c r="AF18" i="25"/>
  <c r="AF17" i="25"/>
  <c r="AF16" i="25"/>
  <c r="AF15" i="25"/>
  <c r="AF14" i="25"/>
  <c r="AF13" i="25"/>
  <c r="AF12" i="25"/>
  <c r="AF11" i="25"/>
  <c r="AF10" i="25"/>
  <c r="AF9" i="25"/>
  <c r="AF8" i="25"/>
  <c r="AF37" i="24"/>
  <c r="AF36" i="24"/>
  <c r="AF35" i="24"/>
  <c r="AF34" i="24"/>
  <c r="AF33" i="24"/>
  <c r="AG33" i="24"/>
  <c r="AF32" i="24"/>
  <c r="AF31" i="24"/>
  <c r="AF30" i="24"/>
  <c r="AF29" i="24"/>
  <c r="AF28" i="24"/>
  <c r="AF27" i="24"/>
  <c r="AF26" i="24"/>
  <c r="AF25" i="24"/>
  <c r="AF24" i="24"/>
  <c r="AF23" i="24"/>
  <c r="AF22" i="24"/>
  <c r="AF21" i="24"/>
  <c r="AF20" i="24"/>
  <c r="AF19" i="24"/>
  <c r="AF18" i="24"/>
  <c r="AF17" i="24"/>
  <c r="AF16" i="24"/>
  <c r="AF15" i="24"/>
  <c r="AF14" i="24"/>
  <c r="AG14" i="24" s="1"/>
  <c r="AF13" i="24"/>
  <c r="AF12" i="24"/>
  <c r="AF11" i="24"/>
  <c r="AF10" i="24"/>
  <c r="AF9" i="24"/>
  <c r="AF8" i="24"/>
  <c r="AF38" i="23"/>
  <c r="AF37" i="23"/>
  <c r="AF36" i="23"/>
  <c r="AF35" i="23"/>
  <c r="AF34" i="23"/>
  <c r="AF33" i="23"/>
  <c r="AF32" i="23"/>
  <c r="AF31" i="23"/>
  <c r="AF30" i="23"/>
  <c r="AF29" i="23"/>
  <c r="AF28" i="23"/>
  <c r="AF27" i="23"/>
  <c r="AF26" i="23"/>
  <c r="AF25" i="23"/>
  <c r="AF24" i="23"/>
  <c r="AF23" i="23"/>
  <c r="AF22" i="23"/>
  <c r="AF21" i="23"/>
  <c r="AF20" i="23"/>
  <c r="AF19" i="23"/>
  <c r="AF18" i="23"/>
  <c r="AF17" i="23"/>
  <c r="AF16" i="23"/>
  <c r="L16" i="23"/>
  <c r="AF15" i="23"/>
  <c r="AF14" i="23"/>
  <c r="AF13" i="23"/>
  <c r="AF12" i="23"/>
  <c r="AF11" i="23"/>
  <c r="AF10" i="23"/>
  <c r="AF9" i="23"/>
  <c r="AF8" i="23"/>
  <c r="AF38" i="22"/>
  <c r="AF37" i="22"/>
  <c r="AF36" i="22"/>
  <c r="AF35" i="22"/>
  <c r="AF34" i="22"/>
  <c r="AF33" i="22"/>
  <c r="AF32" i="22"/>
  <c r="AF31" i="22"/>
  <c r="AF30" i="22"/>
  <c r="AF29" i="22"/>
  <c r="AF28" i="22"/>
  <c r="AF27" i="22"/>
  <c r="AF26" i="22"/>
  <c r="AF25" i="22"/>
  <c r="AF24" i="22"/>
  <c r="AF23" i="22"/>
  <c r="AF22" i="22"/>
  <c r="AF21" i="22"/>
  <c r="AF20" i="22"/>
  <c r="AF19" i="22"/>
  <c r="AF18" i="22"/>
  <c r="AF17" i="22"/>
  <c r="AF16" i="22"/>
  <c r="AF15" i="22"/>
  <c r="AF14" i="22"/>
  <c r="AF13" i="22"/>
  <c r="AF12" i="22"/>
  <c r="AF11" i="22"/>
  <c r="AF10" i="22"/>
  <c r="AF9" i="22"/>
  <c r="AF8" i="22"/>
  <c r="AF37" i="21"/>
  <c r="AF36" i="21"/>
  <c r="AF35" i="21"/>
  <c r="AF34" i="21"/>
  <c r="AF33" i="21"/>
  <c r="AF32" i="21"/>
  <c r="AF31" i="21"/>
  <c r="AF30" i="21"/>
  <c r="AF29" i="21"/>
  <c r="AF28" i="21"/>
  <c r="AF27" i="21"/>
  <c r="AF26" i="21"/>
  <c r="AF25" i="21"/>
  <c r="AF24" i="21"/>
  <c r="AF23" i="21"/>
  <c r="AF22" i="21"/>
  <c r="AF21" i="21"/>
  <c r="AF20" i="21"/>
  <c r="AF19" i="21"/>
  <c r="AF18" i="21"/>
  <c r="AF17" i="21"/>
  <c r="AF16" i="21"/>
  <c r="AF15" i="21"/>
  <c r="AF14" i="21"/>
  <c r="AF13" i="21"/>
  <c r="AF12" i="21"/>
  <c r="AF11" i="21"/>
  <c r="AF10" i="21"/>
  <c r="AG10" i="21" s="1"/>
  <c r="AF9" i="21"/>
  <c r="AF8" i="21"/>
  <c r="AF38" i="20"/>
  <c r="AF37" i="20"/>
  <c r="AF36" i="20"/>
  <c r="AF35" i="20"/>
  <c r="AF34" i="20"/>
  <c r="AF33" i="20"/>
  <c r="AF32" i="20"/>
  <c r="AF31" i="20"/>
  <c r="AF30" i="20"/>
  <c r="AF29" i="20"/>
  <c r="AF28" i="20"/>
  <c r="AF27" i="20"/>
  <c r="AF26" i="20"/>
  <c r="AF25" i="20"/>
  <c r="AF24" i="20"/>
  <c r="AF23" i="20"/>
  <c r="AF22" i="20"/>
  <c r="AF21" i="20"/>
  <c r="AF20" i="20"/>
  <c r="AF19" i="20"/>
  <c r="AF18" i="20"/>
  <c r="AF17" i="20"/>
  <c r="AF16" i="20"/>
  <c r="AF15" i="20"/>
  <c r="AF14" i="20"/>
  <c r="AF13" i="20"/>
  <c r="AF12" i="20"/>
  <c r="AF11" i="20"/>
  <c r="AF10" i="20"/>
  <c r="AG10" i="20"/>
  <c r="AF9" i="20"/>
  <c r="AF8" i="20"/>
  <c r="AF37" i="19"/>
  <c r="AF36" i="19"/>
  <c r="AF35" i="19"/>
  <c r="AF34" i="19"/>
  <c r="AG34" i="19"/>
  <c r="AF33" i="19"/>
  <c r="AF32" i="19"/>
  <c r="AF31" i="19"/>
  <c r="AF30" i="19"/>
  <c r="AF29" i="19"/>
  <c r="AF28" i="19"/>
  <c r="AF27" i="19"/>
  <c r="AF26" i="19"/>
  <c r="AF25" i="19"/>
  <c r="AF24" i="19"/>
  <c r="AF23" i="19"/>
  <c r="AF22" i="19"/>
  <c r="AF21" i="19"/>
  <c r="AF20" i="19"/>
  <c r="AF19" i="19"/>
  <c r="AF18" i="19"/>
  <c r="AF17" i="19"/>
  <c r="AF16" i="19"/>
  <c r="AF15" i="19"/>
  <c r="AF14" i="19"/>
  <c r="AF13" i="19"/>
  <c r="AF12" i="19"/>
  <c r="AF11" i="19"/>
  <c r="AF10" i="19"/>
  <c r="AF9" i="19"/>
  <c r="AF8" i="19"/>
  <c r="AF38" i="18"/>
  <c r="AF37" i="18"/>
  <c r="AF36" i="18"/>
  <c r="AF35" i="18"/>
  <c r="AF34" i="18"/>
  <c r="AF33" i="18"/>
  <c r="AF32" i="18"/>
  <c r="AF31" i="18"/>
  <c r="AF30" i="18"/>
  <c r="AF29" i="18"/>
  <c r="AF28" i="18"/>
  <c r="AF27" i="18"/>
  <c r="AF26" i="18"/>
  <c r="AF25" i="18"/>
  <c r="AF24" i="18"/>
  <c r="AF23" i="18"/>
  <c r="AF22" i="18"/>
  <c r="AF21" i="18"/>
  <c r="AF20" i="18"/>
  <c r="AF19" i="18"/>
  <c r="AG19" i="18"/>
  <c r="AF18" i="18"/>
  <c r="AF17" i="18"/>
  <c r="AF16" i="18"/>
  <c r="AF15" i="18"/>
  <c r="AF14" i="18"/>
  <c r="AF13" i="18"/>
  <c r="AF12" i="18"/>
  <c r="AF11" i="18"/>
  <c r="AF10" i="18"/>
  <c r="AF9" i="18"/>
  <c r="AF8" i="18"/>
  <c r="AF35" i="17"/>
  <c r="AF34" i="17"/>
  <c r="AF33" i="17"/>
  <c r="AF32" i="17"/>
  <c r="AF31" i="17"/>
  <c r="AF30" i="17"/>
  <c r="AF29" i="17"/>
  <c r="AF28" i="17"/>
  <c r="AF27" i="17"/>
  <c r="AF26" i="17"/>
  <c r="AF25" i="17"/>
  <c r="AF24" i="17"/>
  <c r="AF23" i="17"/>
  <c r="AF22" i="17"/>
  <c r="AF21" i="17"/>
  <c r="AF20" i="17"/>
  <c r="AF19" i="17"/>
  <c r="AF18" i="17"/>
  <c r="AG18" i="17" s="1"/>
  <c r="AF17" i="17"/>
  <c r="AF16" i="17"/>
  <c r="AF15" i="17"/>
  <c r="AF14" i="17"/>
  <c r="AF13" i="17"/>
  <c r="AF12" i="17"/>
  <c r="AF11" i="17"/>
  <c r="AF10" i="17"/>
  <c r="AF9" i="17"/>
  <c r="AF8" i="17"/>
  <c r="AF38" i="6"/>
  <c r="AF37" i="6"/>
  <c r="AF36" i="6"/>
  <c r="AF35" i="6"/>
  <c r="AF34" i="6"/>
  <c r="AF33" i="6"/>
  <c r="AF32" i="6"/>
  <c r="AF31" i="6"/>
  <c r="AF30" i="6"/>
  <c r="AF29" i="6"/>
  <c r="AF28" i="6"/>
  <c r="AF27" i="6"/>
  <c r="AF26" i="6"/>
  <c r="AF25" i="6"/>
  <c r="AF24" i="6"/>
  <c r="AF23" i="6"/>
  <c r="AF22" i="6"/>
  <c r="AF21" i="6"/>
  <c r="AF20" i="6"/>
  <c r="AF19" i="6"/>
  <c r="AF18" i="6"/>
  <c r="AF17" i="6"/>
  <c r="AF16" i="6"/>
  <c r="AF15" i="6"/>
  <c r="AF14" i="6"/>
  <c r="AF13" i="6"/>
  <c r="AF12" i="6"/>
  <c r="AF11" i="6"/>
  <c r="AF10" i="6"/>
  <c r="AF9" i="6"/>
  <c r="AF8" i="6"/>
  <c r="AE38" i="27"/>
  <c r="AE37" i="27"/>
  <c r="AG37" i="27" s="1"/>
  <c r="AE36" i="27"/>
  <c r="AE35" i="27"/>
  <c r="AE33" i="27"/>
  <c r="AE32" i="27"/>
  <c r="AE30" i="27"/>
  <c r="AE29" i="27"/>
  <c r="AG29" i="27"/>
  <c r="AE28" i="27"/>
  <c r="AE27" i="27"/>
  <c r="AE26" i="27"/>
  <c r="AE25" i="27"/>
  <c r="AE24" i="27"/>
  <c r="AE23" i="27"/>
  <c r="AE22" i="27"/>
  <c r="AE21" i="27"/>
  <c r="AE20" i="27"/>
  <c r="AE19" i="27"/>
  <c r="AE18" i="27"/>
  <c r="AE17" i="27"/>
  <c r="AE16" i="27"/>
  <c r="AE15" i="27"/>
  <c r="AE14" i="27"/>
  <c r="AE13" i="27"/>
  <c r="AE12" i="27"/>
  <c r="AE11" i="27"/>
  <c r="AE10" i="27"/>
  <c r="AE9" i="27"/>
  <c r="AE8" i="27"/>
  <c r="AE37" i="26"/>
  <c r="AE36" i="26"/>
  <c r="AE35" i="26"/>
  <c r="AE34" i="26"/>
  <c r="AE33" i="26"/>
  <c r="AE32" i="26"/>
  <c r="AE31" i="26"/>
  <c r="AE30" i="26"/>
  <c r="AE29" i="26"/>
  <c r="AG29" i="26" s="1"/>
  <c r="AE28" i="26"/>
  <c r="AE27" i="26"/>
  <c r="AE26" i="26"/>
  <c r="AE25" i="26"/>
  <c r="AG25" i="26"/>
  <c r="AE24" i="26"/>
  <c r="AE23" i="26"/>
  <c r="AE22" i="26"/>
  <c r="AE21" i="26"/>
  <c r="AE20" i="26"/>
  <c r="AE19" i="26"/>
  <c r="AE18" i="26"/>
  <c r="AE17" i="26"/>
  <c r="AE16" i="26"/>
  <c r="AE15" i="26"/>
  <c r="AE14" i="26"/>
  <c r="AG14" i="26" s="1"/>
  <c r="AE13" i="26"/>
  <c r="AE12" i="26"/>
  <c r="AE11" i="26"/>
  <c r="AE9" i="26"/>
  <c r="AE8" i="26"/>
  <c r="AE37" i="25"/>
  <c r="AE36" i="25"/>
  <c r="AE35" i="25"/>
  <c r="AG35" i="25"/>
  <c r="L35" i="25"/>
  <c r="AE34" i="25"/>
  <c r="AE33" i="25"/>
  <c r="AE32" i="25"/>
  <c r="AE31" i="25"/>
  <c r="AE30" i="25"/>
  <c r="AE29" i="25"/>
  <c r="AE28" i="25"/>
  <c r="AE27" i="25"/>
  <c r="AE26" i="25"/>
  <c r="AG26" i="25"/>
  <c r="AE25" i="25"/>
  <c r="AE24" i="25"/>
  <c r="AE23" i="25"/>
  <c r="AE22" i="25"/>
  <c r="AE21" i="25"/>
  <c r="AE20" i="25"/>
  <c r="AE19" i="25"/>
  <c r="AE18" i="25"/>
  <c r="AE17" i="25"/>
  <c r="AE16" i="25"/>
  <c r="AE15" i="25"/>
  <c r="AE14" i="25"/>
  <c r="AG14" i="25"/>
  <c r="AE13" i="25"/>
  <c r="AE12" i="25"/>
  <c r="AE11" i="25"/>
  <c r="AE10" i="25"/>
  <c r="AE9" i="25"/>
  <c r="AE8" i="25"/>
  <c r="AE37" i="24"/>
  <c r="AE36" i="24"/>
  <c r="AE35" i="24"/>
  <c r="AE34" i="24"/>
  <c r="AE33" i="24"/>
  <c r="AE32" i="24"/>
  <c r="AE31" i="24"/>
  <c r="AE30" i="24"/>
  <c r="AE29" i="24"/>
  <c r="AE28" i="24"/>
  <c r="AE27" i="24"/>
  <c r="AG27" i="24" s="1"/>
  <c r="AE26" i="24"/>
  <c r="AE25" i="24"/>
  <c r="AG25" i="24" s="1"/>
  <c r="AE24" i="24"/>
  <c r="AG24" i="24"/>
  <c r="L24" i="24"/>
  <c r="AE23" i="24"/>
  <c r="AE22" i="24"/>
  <c r="AE21" i="24"/>
  <c r="AG21" i="24" s="1"/>
  <c r="AE20" i="24"/>
  <c r="AE19" i="24"/>
  <c r="AE18" i="24"/>
  <c r="AE17" i="24"/>
  <c r="AE16" i="24"/>
  <c r="AE15" i="24"/>
  <c r="AE14" i="24"/>
  <c r="AE13" i="24"/>
  <c r="AE12" i="24"/>
  <c r="AE11" i="24"/>
  <c r="AE10" i="24"/>
  <c r="AE9" i="24"/>
  <c r="AE8" i="24"/>
  <c r="AE38" i="23"/>
  <c r="AE37" i="23"/>
  <c r="AE36" i="23"/>
  <c r="AE35" i="23"/>
  <c r="AE34" i="23"/>
  <c r="AE33" i="23"/>
  <c r="AE32" i="23"/>
  <c r="AE31" i="23"/>
  <c r="AE30" i="23"/>
  <c r="AE29" i="23"/>
  <c r="AE28" i="23"/>
  <c r="AE27" i="23"/>
  <c r="AE26" i="23"/>
  <c r="AE25" i="23"/>
  <c r="AE24" i="23"/>
  <c r="AE23" i="23"/>
  <c r="AE22" i="23"/>
  <c r="AE21" i="23"/>
  <c r="AE20" i="23"/>
  <c r="AE19" i="23"/>
  <c r="AE18" i="23"/>
  <c r="AE17" i="23"/>
  <c r="AE16" i="23"/>
  <c r="AG16" i="23" s="1"/>
  <c r="AE15" i="23"/>
  <c r="AE14" i="23"/>
  <c r="AE13" i="23"/>
  <c r="AE12" i="23"/>
  <c r="AE11" i="23"/>
  <c r="AE10" i="23"/>
  <c r="AE9" i="23"/>
  <c r="AE8" i="23"/>
  <c r="AE38" i="22"/>
  <c r="AE37" i="22"/>
  <c r="AE36" i="22"/>
  <c r="AE35" i="22"/>
  <c r="AG35" i="22" s="1"/>
  <c r="AE34" i="22"/>
  <c r="AE33" i="22"/>
  <c r="AE32" i="22"/>
  <c r="AE31" i="22"/>
  <c r="AE30" i="22"/>
  <c r="AE29" i="22"/>
  <c r="AE28" i="22"/>
  <c r="AE26" i="22"/>
  <c r="AE25" i="22"/>
  <c r="AE24" i="22"/>
  <c r="AE23" i="22"/>
  <c r="AG23" i="22"/>
  <c r="AE22" i="22"/>
  <c r="AG22" i="22" s="1"/>
  <c r="L22" i="22" s="1"/>
  <c r="AE21" i="22"/>
  <c r="AE20" i="22"/>
  <c r="AE19" i="22"/>
  <c r="AG19" i="22"/>
  <c r="AE18" i="22"/>
  <c r="AE17" i="22"/>
  <c r="AE16" i="22"/>
  <c r="AE15" i="22"/>
  <c r="AE14" i="22"/>
  <c r="AE13" i="22"/>
  <c r="AE12" i="22"/>
  <c r="AG12" i="22"/>
  <c r="AE11" i="22"/>
  <c r="AE10" i="22"/>
  <c r="AE9" i="22"/>
  <c r="AE8" i="22"/>
  <c r="AE37" i="21"/>
  <c r="AE36" i="21"/>
  <c r="AE35" i="21"/>
  <c r="AE34" i="21"/>
  <c r="AE33" i="21"/>
  <c r="AE32" i="21"/>
  <c r="AE31" i="21"/>
  <c r="AE30" i="21"/>
  <c r="AE29" i="21"/>
  <c r="AE28" i="21"/>
  <c r="AE27" i="21"/>
  <c r="AE26" i="21"/>
  <c r="AE25" i="21"/>
  <c r="AE24" i="21"/>
  <c r="AE23" i="21"/>
  <c r="AE22" i="21"/>
  <c r="AE21" i="21"/>
  <c r="AE20" i="21"/>
  <c r="AE19" i="21"/>
  <c r="AE18" i="21"/>
  <c r="AE17" i="21"/>
  <c r="AE16" i="21"/>
  <c r="AE15" i="21"/>
  <c r="AE14" i="21"/>
  <c r="AE13" i="21"/>
  <c r="AE12" i="21"/>
  <c r="AE11" i="21"/>
  <c r="AE10" i="21"/>
  <c r="AE9" i="21"/>
  <c r="AE8" i="21"/>
  <c r="AE37" i="20"/>
  <c r="AE36" i="20"/>
  <c r="AE35" i="20"/>
  <c r="AE34" i="20"/>
  <c r="AE32" i="20"/>
  <c r="AE31" i="20"/>
  <c r="AE30" i="20"/>
  <c r="AE29" i="20"/>
  <c r="AE28" i="20"/>
  <c r="AE27" i="20"/>
  <c r="AE26" i="20"/>
  <c r="AE25" i="20"/>
  <c r="AE24" i="20"/>
  <c r="AG24" i="20" s="1"/>
  <c r="AE23" i="20"/>
  <c r="AE21" i="20"/>
  <c r="AE20" i="20"/>
  <c r="AE19" i="20"/>
  <c r="AE16" i="20"/>
  <c r="AE15" i="20"/>
  <c r="AE14" i="20"/>
  <c r="AE12" i="20"/>
  <c r="AE11" i="20"/>
  <c r="AE10" i="20"/>
  <c r="AE9" i="20"/>
  <c r="AE8" i="20"/>
  <c r="AE37" i="19"/>
  <c r="AE36" i="19"/>
  <c r="AE35" i="19"/>
  <c r="AE34" i="19"/>
  <c r="AE33" i="19"/>
  <c r="AE32" i="19"/>
  <c r="AG32" i="19"/>
  <c r="AE31" i="19"/>
  <c r="AE30" i="19"/>
  <c r="AE29" i="19"/>
  <c r="AE28" i="19"/>
  <c r="AE27" i="19"/>
  <c r="AG27" i="19"/>
  <c r="L27" i="19" s="1"/>
  <c r="AE26" i="19"/>
  <c r="AE25" i="19"/>
  <c r="AE24" i="19"/>
  <c r="AE23" i="19"/>
  <c r="AE22" i="19"/>
  <c r="AG22" i="19" s="1"/>
  <c r="AE21" i="19"/>
  <c r="AE20" i="19"/>
  <c r="AE19" i="19"/>
  <c r="AE18" i="19"/>
  <c r="AE17" i="19"/>
  <c r="AE16" i="19"/>
  <c r="AE15" i="19"/>
  <c r="AE14" i="19"/>
  <c r="AE13" i="19"/>
  <c r="AE12" i="19"/>
  <c r="AG12" i="19" s="1"/>
  <c r="AE11" i="19"/>
  <c r="AE10" i="19"/>
  <c r="AE9" i="19"/>
  <c r="AE8" i="19"/>
  <c r="AE38" i="18"/>
  <c r="AE37" i="18"/>
  <c r="AG37" i="18" s="1"/>
  <c r="AE36" i="18"/>
  <c r="AE35" i="18"/>
  <c r="AE34" i="18"/>
  <c r="AE33" i="18"/>
  <c r="AE32" i="18"/>
  <c r="AE31" i="18"/>
  <c r="AE30" i="18"/>
  <c r="AE29" i="18"/>
  <c r="AE28" i="18"/>
  <c r="AE27" i="18"/>
  <c r="AE26" i="18"/>
  <c r="AE25" i="18"/>
  <c r="AE24" i="18"/>
  <c r="AE23" i="18"/>
  <c r="AE22" i="18"/>
  <c r="AG22" i="18" s="1"/>
  <c r="AE21" i="18"/>
  <c r="AE20" i="18"/>
  <c r="AE19" i="18"/>
  <c r="AE18" i="18"/>
  <c r="AE17" i="18"/>
  <c r="AG17" i="18" s="1"/>
  <c r="L17" i="18" s="1"/>
  <c r="AE16" i="18"/>
  <c r="AE15" i="18"/>
  <c r="AE14" i="18"/>
  <c r="AE13" i="18"/>
  <c r="AE12" i="18"/>
  <c r="AE11" i="18"/>
  <c r="AE10" i="18"/>
  <c r="AE9" i="18"/>
  <c r="AE8" i="18"/>
  <c r="AE35" i="17"/>
  <c r="AE34" i="17"/>
  <c r="AE33" i="17"/>
  <c r="AE32" i="17"/>
  <c r="AE31" i="17"/>
  <c r="AE30" i="17"/>
  <c r="AE29" i="17"/>
  <c r="AE28" i="17"/>
  <c r="AE27" i="17"/>
  <c r="AE26" i="17"/>
  <c r="AE25" i="17"/>
  <c r="AE24" i="17"/>
  <c r="AE23" i="17"/>
  <c r="AG23" i="17" s="1"/>
  <c r="AE22" i="17"/>
  <c r="AE21" i="17"/>
  <c r="AE20" i="17"/>
  <c r="AE19" i="17"/>
  <c r="AE18" i="17"/>
  <c r="AE17" i="17"/>
  <c r="AE16" i="17"/>
  <c r="AE15" i="17"/>
  <c r="AE14" i="17"/>
  <c r="AG14" i="17"/>
  <c r="AE13" i="17"/>
  <c r="AE12" i="17"/>
  <c r="AE11" i="17"/>
  <c r="AE10" i="17"/>
  <c r="AG10" i="17" s="1"/>
  <c r="AE9" i="17"/>
  <c r="AE8" i="17"/>
  <c r="AE38" i="6"/>
  <c r="AE37" i="6"/>
  <c r="AE36" i="6"/>
  <c r="AE35" i="6"/>
  <c r="AE34" i="6"/>
  <c r="AE33" i="6"/>
  <c r="AE32" i="6"/>
  <c r="AE31" i="6"/>
  <c r="AE30" i="6"/>
  <c r="AE29" i="6"/>
  <c r="AE28" i="6"/>
  <c r="AE27" i="6"/>
  <c r="AE26" i="6"/>
  <c r="AE25" i="6"/>
  <c r="AE24" i="6"/>
  <c r="AE23" i="6"/>
  <c r="AE22" i="6"/>
  <c r="AE21" i="6"/>
  <c r="AE20" i="6"/>
  <c r="AE19" i="6"/>
  <c r="AE18" i="6"/>
  <c r="AE17" i="6"/>
  <c r="AE16" i="6"/>
  <c r="AE15" i="6"/>
  <c r="AE14" i="6"/>
  <c r="AE13" i="6"/>
  <c r="AE12" i="6"/>
  <c r="AE11" i="6"/>
  <c r="AE10" i="6"/>
  <c r="AE8" i="6"/>
  <c r="AD10" i="6"/>
  <c r="G8" i="16"/>
  <c r="M53" i="17"/>
  <c r="M52" i="17"/>
  <c r="M54" i="26"/>
  <c r="M53" i="26"/>
  <c r="M54" i="24"/>
  <c r="M53" i="24"/>
  <c r="M54" i="21"/>
  <c r="M53" i="21"/>
  <c r="M54" i="19"/>
  <c r="M53" i="19"/>
  <c r="M55" i="27"/>
  <c r="M54" i="27"/>
  <c r="M55" i="25"/>
  <c r="M54" i="25"/>
  <c r="M55" i="23"/>
  <c r="M54" i="23"/>
  <c r="M55" i="22"/>
  <c r="M54" i="22"/>
  <c r="M55" i="20"/>
  <c r="M54" i="20"/>
  <c r="M54" i="18"/>
  <c r="M55" i="18"/>
  <c r="M55" i="6"/>
  <c r="M54" i="6"/>
  <c r="M51" i="17"/>
  <c r="S51" i="17"/>
  <c r="AB59" i="27"/>
  <c r="M53" i="27"/>
  <c r="S53" i="27"/>
  <c r="AK48" i="27"/>
  <c r="AW48" i="27"/>
  <c r="AW47" i="27"/>
  <c r="AM46" i="27"/>
  <c r="AW46" i="27"/>
  <c r="AW45" i="27"/>
  <c r="AQ44" i="27"/>
  <c r="AM44" i="27"/>
  <c r="AW44" i="27"/>
  <c r="AW43" i="27"/>
  <c r="AW42" i="27"/>
  <c r="AW41" i="27"/>
  <c r="AW40" i="27"/>
  <c r="AR38" i="27"/>
  <c r="T38" i="27" s="1"/>
  <c r="AQ38" i="27"/>
  <c r="S38" i="27"/>
  <c r="AP38" i="27"/>
  <c r="R38" i="27" s="1"/>
  <c r="AO38" i="27"/>
  <c r="Q38" i="27" s="1"/>
  <c r="AL38" i="27"/>
  <c r="AK38" i="27"/>
  <c r="AN38" i="27"/>
  <c r="W38" i="27" s="1"/>
  <c r="AI38" i="27"/>
  <c r="AH38" i="27"/>
  <c r="AR37" i="27"/>
  <c r="T37" i="27" s="1"/>
  <c r="AQ37" i="27"/>
  <c r="S37" i="27" s="1"/>
  <c r="AP37" i="27"/>
  <c r="R37" i="27" s="1"/>
  <c r="AO37" i="27"/>
  <c r="Q37" i="27" s="1"/>
  <c r="AL37" i="27"/>
  <c r="AK37" i="27"/>
  <c r="AI37" i="27"/>
  <c r="AJ37" i="27" s="1"/>
  <c r="AH37" i="27"/>
  <c r="AM37" i="27"/>
  <c r="V37" i="27" s="1"/>
  <c r="AR36" i="27"/>
  <c r="T36" i="27"/>
  <c r="AQ36" i="27"/>
  <c r="S36" i="27" s="1"/>
  <c r="AP36" i="27"/>
  <c r="R36" i="27"/>
  <c r="AO36" i="27"/>
  <c r="Q36" i="27" s="1"/>
  <c r="AL36" i="27"/>
  <c r="AK36" i="27"/>
  <c r="AI36" i="27"/>
  <c r="AH36" i="27"/>
  <c r="AW36" i="27"/>
  <c r="AR35" i="27"/>
  <c r="T35" i="27" s="1"/>
  <c r="AQ35" i="27"/>
  <c r="AP35" i="27"/>
  <c r="R35" i="27"/>
  <c r="AO35" i="27"/>
  <c r="Q35" i="27" s="1"/>
  <c r="AL35" i="27"/>
  <c r="AK35" i="27"/>
  <c r="AN35" i="27"/>
  <c r="W35" i="27" s="1"/>
  <c r="AI35" i="27"/>
  <c r="AH35" i="27"/>
  <c r="AJ35" i="27"/>
  <c r="S35" i="27"/>
  <c r="AW35" i="27"/>
  <c r="AR34" i="27"/>
  <c r="T34" i="27"/>
  <c r="AQ34" i="27"/>
  <c r="S34" i="27" s="1"/>
  <c r="AP34" i="27"/>
  <c r="R34" i="27"/>
  <c r="AO34" i="27"/>
  <c r="Q34" i="27" s="1"/>
  <c r="AL34" i="27"/>
  <c r="AK34" i="27"/>
  <c r="AM34" i="27" s="1"/>
  <c r="V34" i="27" s="1"/>
  <c r="AI34" i="27"/>
  <c r="AH34" i="27"/>
  <c r="AW34" i="27"/>
  <c r="AR33" i="27"/>
  <c r="T33" i="27"/>
  <c r="AQ33" i="27"/>
  <c r="S33" i="27"/>
  <c r="AP33" i="27"/>
  <c r="R33" i="27"/>
  <c r="AO33" i="27"/>
  <c r="Q33" i="27"/>
  <c r="AL33" i="27"/>
  <c r="AK33" i="27"/>
  <c r="AN33" i="27" s="1"/>
  <c r="W33" i="27" s="1"/>
  <c r="AI33" i="27"/>
  <c r="AH33" i="27"/>
  <c r="AJ33" i="27" s="1"/>
  <c r="AW33" i="27"/>
  <c r="AR32" i="27"/>
  <c r="T32" i="27"/>
  <c r="AQ32" i="27"/>
  <c r="S32" i="27"/>
  <c r="AP32" i="27"/>
  <c r="R32" i="27"/>
  <c r="AO32" i="27"/>
  <c r="Q32" i="27"/>
  <c r="AL32" i="27"/>
  <c r="AK32" i="27"/>
  <c r="AN32" i="27"/>
  <c r="W32" i="27"/>
  <c r="AI32" i="27"/>
  <c r="AH32" i="27"/>
  <c r="AW32" i="27"/>
  <c r="AR31" i="27"/>
  <c r="T31" i="27" s="1"/>
  <c r="AQ31" i="27"/>
  <c r="AP31" i="27"/>
  <c r="R31" i="27"/>
  <c r="AO31" i="27"/>
  <c r="Q31" i="27"/>
  <c r="AL31" i="27"/>
  <c r="AK31" i="27"/>
  <c r="AN31" i="27" s="1"/>
  <c r="W31" i="27"/>
  <c r="AI31" i="27"/>
  <c r="AJ31" i="27" s="1"/>
  <c r="AH31" i="27"/>
  <c r="S31" i="27"/>
  <c r="AW31" i="27"/>
  <c r="AR30" i="27"/>
  <c r="T30" i="27" s="1"/>
  <c r="AQ30" i="27"/>
  <c r="S30" i="27"/>
  <c r="AP30" i="27"/>
  <c r="AO30" i="27"/>
  <c r="Q30" i="27" s="1"/>
  <c r="AL30" i="27"/>
  <c r="AK30" i="27"/>
  <c r="AN30" i="27" s="1"/>
  <c r="W30" i="27" s="1"/>
  <c r="AI30" i="27"/>
  <c r="AH30" i="27"/>
  <c r="AJ30" i="27"/>
  <c r="R30" i="27"/>
  <c r="AX29" i="27"/>
  <c r="AY29" i="27"/>
  <c r="AW30" i="27"/>
  <c r="AR29" i="27"/>
  <c r="T29" i="27" s="1"/>
  <c r="AQ29" i="27"/>
  <c r="S29" i="27" s="1"/>
  <c r="AP29" i="27"/>
  <c r="R29" i="27"/>
  <c r="AO29" i="27"/>
  <c r="Q29" i="27" s="1"/>
  <c r="AL29" i="27"/>
  <c r="AK29" i="27"/>
  <c r="AN29" i="27"/>
  <c r="W29" i="27" s="1"/>
  <c r="AI29" i="27"/>
  <c r="AH29" i="27"/>
  <c r="AX28" i="27"/>
  <c r="AY28" i="27" s="1"/>
  <c r="AW29" i="27"/>
  <c r="AR28" i="27"/>
  <c r="T28" i="27"/>
  <c r="AQ28" i="27"/>
  <c r="S28" i="27"/>
  <c r="AP28" i="27"/>
  <c r="R28" i="27"/>
  <c r="AO28" i="27"/>
  <c r="Q28" i="27"/>
  <c r="AL28" i="27"/>
  <c r="AK28" i="27"/>
  <c r="AN28" i="27" s="1"/>
  <c r="W28" i="27"/>
  <c r="AI28" i="27"/>
  <c r="AH28" i="27"/>
  <c r="AX27" i="27"/>
  <c r="AY27" i="27"/>
  <c r="AW28" i="27"/>
  <c r="AR27" i="27"/>
  <c r="T27" i="27"/>
  <c r="AQ27" i="27"/>
  <c r="S27" i="27"/>
  <c r="AP27" i="27"/>
  <c r="R27" i="27"/>
  <c r="AO27" i="27"/>
  <c r="Q27" i="27"/>
  <c r="AL27" i="27"/>
  <c r="AK27" i="27"/>
  <c r="AN27" i="27" s="1"/>
  <c r="W27" i="27" s="1"/>
  <c r="AI27" i="27"/>
  <c r="AH27" i="27"/>
  <c r="AJ27" i="27"/>
  <c r="AX26" i="27"/>
  <c r="AY26" i="27" s="1"/>
  <c r="AW27" i="27"/>
  <c r="AR26" i="27"/>
  <c r="T26" i="27"/>
  <c r="AQ26" i="27"/>
  <c r="S26" i="27"/>
  <c r="AP26" i="27"/>
  <c r="R26" i="27"/>
  <c r="AO26" i="27"/>
  <c r="Q26" i="27"/>
  <c r="AL26" i="27"/>
  <c r="AK26" i="27"/>
  <c r="AN26" i="27" s="1"/>
  <c r="W26" i="27"/>
  <c r="AI26" i="27"/>
  <c r="AJ26" i="27"/>
  <c r="AH26" i="27"/>
  <c r="AX25" i="27"/>
  <c r="AY25" i="27" s="1"/>
  <c r="AW26" i="27"/>
  <c r="AR25" i="27"/>
  <c r="T25" i="27"/>
  <c r="AQ25" i="27"/>
  <c r="S25" i="27"/>
  <c r="AP25" i="27"/>
  <c r="R25" i="27"/>
  <c r="AO25" i="27"/>
  <c r="Q25" i="27"/>
  <c r="AL25" i="27"/>
  <c r="AK25" i="27"/>
  <c r="AI25" i="27"/>
  <c r="AH25" i="27"/>
  <c r="AJ25" i="27" s="1"/>
  <c r="AX24" i="27"/>
  <c r="AY24" i="27"/>
  <c r="AR24" i="27"/>
  <c r="T24" i="27" s="1"/>
  <c r="AQ24" i="27"/>
  <c r="S24" i="27"/>
  <c r="AP24" i="27"/>
  <c r="R24" i="27" s="1"/>
  <c r="AO24" i="27"/>
  <c r="Q24" i="27"/>
  <c r="AL24" i="27"/>
  <c r="AN24" i="27" s="1"/>
  <c r="W24" i="27" s="1"/>
  <c r="AK24" i="27"/>
  <c r="AI24" i="27"/>
  <c r="AH24" i="27"/>
  <c r="AX23" i="27"/>
  <c r="AY23" i="27"/>
  <c r="AW24" i="27"/>
  <c r="AR23" i="27"/>
  <c r="T23" i="27"/>
  <c r="AQ23" i="27"/>
  <c r="S23" i="27"/>
  <c r="AP23" i="27"/>
  <c r="AO23" i="27"/>
  <c r="Q23" i="27"/>
  <c r="AL23" i="27"/>
  <c r="AK23" i="27"/>
  <c r="AI23" i="27"/>
  <c r="AH23" i="27"/>
  <c r="R23" i="27"/>
  <c r="AX22" i="27"/>
  <c r="AY22" i="27" s="1"/>
  <c r="AR22" i="27"/>
  <c r="T22" i="27"/>
  <c r="AQ22" i="27"/>
  <c r="S22" i="27" s="1"/>
  <c r="AP22" i="27"/>
  <c r="R22" i="27"/>
  <c r="AO22" i="27"/>
  <c r="Q22" i="27" s="1"/>
  <c r="AL22" i="27"/>
  <c r="AK22" i="27"/>
  <c r="AN22" i="27"/>
  <c r="W22" i="27" s="1"/>
  <c r="AI22" i="27"/>
  <c r="AH22" i="27"/>
  <c r="AM22" i="27"/>
  <c r="V22" i="27" s="1"/>
  <c r="AX21" i="27"/>
  <c r="AY21" i="27"/>
  <c r="AW22" i="27"/>
  <c r="AR21" i="27"/>
  <c r="T21" i="27"/>
  <c r="AQ21" i="27"/>
  <c r="S21" i="27" s="1"/>
  <c r="AP21" i="27"/>
  <c r="R21" i="27"/>
  <c r="AO21" i="27"/>
  <c r="Q21" i="27" s="1"/>
  <c r="AL21" i="27"/>
  <c r="AK21" i="27"/>
  <c r="AN21" i="27" s="1"/>
  <c r="W21" i="27" s="1"/>
  <c r="AI21" i="27"/>
  <c r="AH21" i="27"/>
  <c r="AJ21" i="27" s="1"/>
  <c r="AX20" i="27"/>
  <c r="AY20" i="27" s="1"/>
  <c r="AW21" i="27"/>
  <c r="AR20" i="27"/>
  <c r="T20" i="27" s="1"/>
  <c r="AQ20" i="27"/>
  <c r="AP20" i="27"/>
  <c r="R20" i="27"/>
  <c r="AO20" i="27"/>
  <c r="Q20" i="27" s="1"/>
  <c r="AL20" i="27"/>
  <c r="AN20" i="27"/>
  <c r="W20" i="27"/>
  <c r="AK20" i="27"/>
  <c r="AI20" i="27"/>
  <c r="AH20" i="27"/>
  <c r="AJ20" i="27"/>
  <c r="S20" i="27"/>
  <c r="AX19" i="27"/>
  <c r="AY19" i="27"/>
  <c r="AW20" i="27"/>
  <c r="AR19" i="27"/>
  <c r="AQ19" i="27"/>
  <c r="S19" i="27"/>
  <c r="AP19" i="27"/>
  <c r="R19" i="27" s="1"/>
  <c r="AO19" i="27"/>
  <c r="Q19" i="27" s="1"/>
  <c r="AL19" i="27"/>
  <c r="AK19" i="27"/>
  <c r="AI19" i="27"/>
  <c r="AH19" i="27"/>
  <c r="AJ19" i="27" s="1"/>
  <c r="T19" i="27"/>
  <c r="AX18" i="27"/>
  <c r="AW19" i="27"/>
  <c r="AR18" i="27"/>
  <c r="T18" i="27"/>
  <c r="AQ18" i="27"/>
  <c r="S18" i="27" s="1"/>
  <c r="AP18" i="27"/>
  <c r="R18" i="27"/>
  <c r="AO18" i="27"/>
  <c r="Q18" i="27" s="1"/>
  <c r="AL18" i="27"/>
  <c r="AN18" i="27" s="1"/>
  <c r="W18" i="27" s="1"/>
  <c r="AK18" i="27"/>
  <c r="AI18" i="27"/>
  <c r="AJ18" i="27" s="1"/>
  <c r="AH18" i="27"/>
  <c r="AX17" i="27"/>
  <c r="AW18" i="27"/>
  <c r="AR17" i="27"/>
  <c r="T17" i="27"/>
  <c r="AQ17" i="27"/>
  <c r="S17" i="27"/>
  <c r="AP17" i="27"/>
  <c r="R17" i="27"/>
  <c r="AO17" i="27"/>
  <c r="Q17" i="27"/>
  <c r="AL17" i="27"/>
  <c r="AK17" i="27"/>
  <c r="AN17" i="27" s="1"/>
  <c r="W17" i="27"/>
  <c r="AI17" i="27"/>
  <c r="AH17" i="27"/>
  <c r="AX16" i="27"/>
  <c r="AW17" i="27"/>
  <c r="AR16" i="27"/>
  <c r="T16" i="27"/>
  <c r="AQ16" i="27"/>
  <c r="S16" i="27" s="1"/>
  <c r="AP16" i="27"/>
  <c r="R16" i="27"/>
  <c r="AO16" i="27"/>
  <c r="Q16" i="27" s="1"/>
  <c r="AL16" i="27"/>
  <c r="AK16" i="27"/>
  <c r="AN16" i="27" s="1"/>
  <c r="W16" i="27" s="1"/>
  <c r="AI16" i="27"/>
  <c r="AH16" i="27"/>
  <c r="AJ16" i="27"/>
  <c r="AX15" i="27"/>
  <c r="AY15" i="27" s="1"/>
  <c r="AW16" i="27"/>
  <c r="AR15" i="27"/>
  <c r="T15" i="27"/>
  <c r="AQ15" i="27"/>
  <c r="S15" i="27"/>
  <c r="AP15" i="27"/>
  <c r="R15" i="27"/>
  <c r="AO15" i="27"/>
  <c r="Q15" i="27"/>
  <c r="AL15" i="27"/>
  <c r="AK15" i="27"/>
  <c r="AN15" i="27" s="1"/>
  <c r="W15" i="27" s="1"/>
  <c r="AI15" i="27"/>
  <c r="AH15" i="27"/>
  <c r="AJ15" i="27" s="1"/>
  <c r="AX14" i="27"/>
  <c r="AW15" i="27"/>
  <c r="AR14" i="27"/>
  <c r="T14" i="27"/>
  <c r="AQ14" i="27"/>
  <c r="S14" i="27" s="1"/>
  <c r="AP14" i="27"/>
  <c r="R14" i="27"/>
  <c r="AO14" i="27"/>
  <c r="AL14" i="27"/>
  <c r="AK14" i="27"/>
  <c r="AN14" i="27"/>
  <c r="W14" i="27"/>
  <c r="AI14" i="27"/>
  <c r="AH14" i="27"/>
  <c r="AJ14" i="27"/>
  <c r="Q14" i="27"/>
  <c r="AX13" i="27"/>
  <c r="AW14" i="27"/>
  <c r="AR13" i="27"/>
  <c r="T13" i="27"/>
  <c r="AQ13" i="27"/>
  <c r="S13" i="27" s="1"/>
  <c r="AP13" i="27"/>
  <c r="AO13" i="27"/>
  <c r="Q13" i="27"/>
  <c r="AL13" i="27"/>
  <c r="AK13" i="27"/>
  <c r="AI13" i="27"/>
  <c r="AH13" i="27"/>
  <c r="R13" i="27"/>
  <c r="AX12" i="27"/>
  <c r="AW13" i="27"/>
  <c r="AR12" i="27"/>
  <c r="T12" i="27" s="1"/>
  <c r="M50" i="27" s="1"/>
  <c r="AQ12" i="27"/>
  <c r="S12" i="27"/>
  <c r="AP12" i="27"/>
  <c r="R12" i="27" s="1"/>
  <c r="AO12" i="27"/>
  <c r="Q12" i="27"/>
  <c r="AL12" i="27"/>
  <c r="AK12" i="27"/>
  <c r="AI12" i="27"/>
  <c r="AH12" i="27"/>
  <c r="AJ12" i="27" s="1"/>
  <c r="AX11" i="27"/>
  <c r="AW12" i="27"/>
  <c r="AR11" i="27"/>
  <c r="T11" i="27" s="1"/>
  <c r="AQ11" i="27"/>
  <c r="S11" i="27" s="1"/>
  <c r="AP11" i="27"/>
  <c r="R11" i="27" s="1"/>
  <c r="AO11" i="27"/>
  <c r="Q11" i="27" s="1"/>
  <c r="AL11" i="27"/>
  <c r="AK11" i="27"/>
  <c r="AI11" i="27"/>
  <c r="AH11" i="27"/>
  <c r="AX10" i="27"/>
  <c r="AW10" i="27"/>
  <c r="AR10" i="27"/>
  <c r="T10" i="27" s="1"/>
  <c r="AQ10" i="27"/>
  <c r="S10" i="27" s="1"/>
  <c r="AP10" i="27"/>
  <c r="R10" i="27" s="1"/>
  <c r="AO10" i="27"/>
  <c r="Q10" i="27" s="1"/>
  <c r="AL10" i="27"/>
  <c r="AN10" i="27"/>
  <c r="W10" i="27" s="1"/>
  <c r="AK10" i="27"/>
  <c r="AI10" i="27"/>
  <c r="AH10" i="27"/>
  <c r="AJ10" i="27" s="1"/>
  <c r="AX9" i="27"/>
  <c r="AW9" i="27"/>
  <c r="AR9" i="27"/>
  <c r="T9" i="27" s="1"/>
  <c r="AQ9" i="27"/>
  <c r="S9" i="27"/>
  <c r="AP9" i="27"/>
  <c r="R9" i="27" s="1"/>
  <c r="AO9" i="27"/>
  <c r="Q9" i="27"/>
  <c r="AL9" i="27"/>
  <c r="AK9" i="27"/>
  <c r="AI9" i="27"/>
  <c r="AH9" i="27"/>
  <c r="AJ9" i="27" s="1"/>
  <c r="AW8" i="27"/>
  <c r="AR8" i="27"/>
  <c r="T8" i="27"/>
  <c r="AQ8" i="27"/>
  <c r="S8" i="27"/>
  <c r="AP8" i="27"/>
  <c r="R8" i="27"/>
  <c r="AO8" i="27"/>
  <c r="Q8" i="27"/>
  <c r="AL8" i="27"/>
  <c r="AK8" i="27"/>
  <c r="AI8" i="27"/>
  <c r="AJ8" i="27"/>
  <c r="AH8" i="27"/>
  <c r="AM8" i="27"/>
  <c r="V8" i="27" s="1"/>
  <c r="D3" i="27"/>
  <c r="AB58" i="26"/>
  <c r="M52" i="26"/>
  <c r="S52" i="26" s="1"/>
  <c r="AK47" i="26"/>
  <c r="AW47" i="26"/>
  <c r="AW46" i="26"/>
  <c r="AM45" i="26"/>
  <c r="AW45" i="26"/>
  <c r="AW44" i="26"/>
  <c r="AQ43" i="26"/>
  <c r="AM43" i="26"/>
  <c r="AW43" i="26"/>
  <c r="AW42" i="26"/>
  <c r="AW41" i="26"/>
  <c r="AW40" i="26"/>
  <c r="AW39" i="26"/>
  <c r="AR37" i="26"/>
  <c r="T37" i="26" s="1"/>
  <c r="AQ37" i="26"/>
  <c r="S37" i="26" s="1"/>
  <c r="AP37" i="26"/>
  <c r="R37" i="26" s="1"/>
  <c r="AO37" i="26"/>
  <c r="Q37" i="26"/>
  <c r="AL37" i="26"/>
  <c r="AK37" i="26"/>
  <c r="AM37" i="26"/>
  <c r="V37" i="26"/>
  <c r="AI37" i="26"/>
  <c r="AH37" i="26"/>
  <c r="AJ37" i="26" s="1"/>
  <c r="AR36" i="26"/>
  <c r="T36" i="26"/>
  <c r="AQ36" i="26"/>
  <c r="S36" i="26"/>
  <c r="AP36" i="26"/>
  <c r="R36" i="26"/>
  <c r="AO36" i="26"/>
  <c r="Q36" i="26"/>
  <c r="AL36" i="26"/>
  <c r="AK36" i="26"/>
  <c r="AI36" i="26"/>
  <c r="AJ36" i="26"/>
  <c r="AH36" i="26"/>
  <c r="AW36" i="26"/>
  <c r="AR35" i="26"/>
  <c r="T35" i="26"/>
  <c r="AQ35" i="26"/>
  <c r="S35" i="26"/>
  <c r="AP35" i="26"/>
  <c r="R35" i="26"/>
  <c r="AO35" i="26"/>
  <c r="Q35" i="26"/>
  <c r="AL35" i="26"/>
  <c r="AK35" i="26"/>
  <c r="AI35" i="26"/>
  <c r="AH35" i="26"/>
  <c r="AW35" i="26"/>
  <c r="AR34" i="26"/>
  <c r="T34" i="26" s="1"/>
  <c r="AQ34" i="26"/>
  <c r="S34" i="26" s="1"/>
  <c r="AP34" i="26"/>
  <c r="R34" i="26" s="1"/>
  <c r="AO34" i="26"/>
  <c r="Q34" i="26" s="1"/>
  <c r="AL34" i="26"/>
  <c r="AN34" i="26"/>
  <c r="W34" i="26" s="1"/>
  <c r="AK34" i="26"/>
  <c r="AI34" i="26"/>
  <c r="AH34" i="26"/>
  <c r="AW34" i="26"/>
  <c r="AR33" i="26"/>
  <c r="T33" i="26"/>
  <c r="AQ33" i="26"/>
  <c r="S33" i="26" s="1"/>
  <c r="AP33" i="26"/>
  <c r="R33" i="26" s="1"/>
  <c r="AO33" i="26"/>
  <c r="Q33" i="26"/>
  <c r="AL33" i="26"/>
  <c r="AK33" i="26"/>
  <c r="AI33" i="26"/>
  <c r="AH33" i="26"/>
  <c r="AM33" i="26"/>
  <c r="V33" i="26" s="1"/>
  <c r="AW33" i="26"/>
  <c r="AR32" i="26"/>
  <c r="T32" i="26" s="1"/>
  <c r="AQ32" i="26"/>
  <c r="S32" i="26" s="1"/>
  <c r="AP32" i="26"/>
  <c r="R32" i="26"/>
  <c r="AO32" i="26"/>
  <c r="Q32" i="26" s="1"/>
  <c r="AL32" i="26"/>
  <c r="AK32" i="26"/>
  <c r="AI32" i="26"/>
  <c r="AJ32" i="26" s="1"/>
  <c r="AH32" i="26"/>
  <c r="AW32" i="26"/>
  <c r="AR31" i="26"/>
  <c r="T31" i="26" s="1"/>
  <c r="AQ31" i="26"/>
  <c r="S31" i="26"/>
  <c r="AP31" i="26"/>
  <c r="R31" i="26" s="1"/>
  <c r="AO31" i="26"/>
  <c r="Q31" i="26" s="1"/>
  <c r="AL31" i="26"/>
  <c r="W31" i="26"/>
  <c r="AK31" i="26"/>
  <c r="AN31" i="26" s="1"/>
  <c r="AI31" i="26"/>
  <c r="AH31" i="26"/>
  <c r="AJ31" i="26"/>
  <c r="AW31" i="26"/>
  <c r="AR30" i="26"/>
  <c r="T30" i="26" s="1"/>
  <c r="AQ30" i="26"/>
  <c r="S30" i="26"/>
  <c r="AP30" i="26"/>
  <c r="R30" i="26" s="1"/>
  <c r="AO30" i="26"/>
  <c r="Q30" i="26"/>
  <c r="AL30" i="26"/>
  <c r="AK30" i="26"/>
  <c r="AI30" i="26"/>
  <c r="AH30" i="26"/>
  <c r="AM30" i="26"/>
  <c r="V30" i="26" s="1"/>
  <c r="AX29" i="26"/>
  <c r="AY29" i="26" s="1"/>
  <c r="AW30" i="26"/>
  <c r="AR29" i="26"/>
  <c r="T29" i="26"/>
  <c r="AQ29" i="26"/>
  <c r="S29" i="26"/>
  <c r="AP29" i="26"/>
  <c r="R29" i="26"/>
  <c r="AO29" i="26"/>
  <c r="Q29" i="26"/>
  <c r="AL29" i="26"/>
  <c r="AK29" i="26"/>
  <c r="AN29" i="26" s="1"/>
  <c r="W29" i="26" s="1"/>
  <c r="AI29" i="26"/>
  <c r="AH29" i="26"/>
  <c r="AJ29" i="26" s="1"/>
  <c r="AX28" i="26"/>
  <c r="AY28" i="26" s="1"/>
  <c r="AW29" i="26"/>
  <c r="AR28" i="26"/>
  <c r="T28" i="26" s="1"/>
  <c r="AQ28" i="26"/>
  <c r="S28" i="26"/>
  <c r="AP28" i="26"/>
  <c r="R28" i="26" s="1"/>
  <c r="AO28" i="26"/>
  <c r="Q28" i="26"/>
  <c r="AL28" i="26"/>
  <c r="AK28" i="26"/>
  <c r="AI28" i="26"/>
  <c r="AH28" i="26"/>
  <c r="AX27" i="26"/>
  <c r="AY27" i="26" s="1"/>
  <c r="AW28" i="26"/>
  <c r="AR27" i="26"/>
  <c r="T27" i="26"/>
  <c r="AQ27" i="26"/>
  <c r="S27" i="26"/>
  <c r="AP27" i="26"/>
  <c r="R27" i="26"/>
  <c r="AO27" i="26"/>
  <c r="Q27" i="26"/>
  <c r="AL27" i="26"/>
  <c r="AK27" i="26"/>
  <c r="AN27" i="26" s="1"/>
  <c r="W27" i="26" s="1"/>
  <c r="AI27" i="26"/>
  <c r="AH27" i="26"/>
  <c r="AX26" i="26"/>
  <c r="AY26" i="26" s="1"/>
  <c r="AW27" i="26"/>
  <c r="AR26" i="26"/>
  <c r="T26" i="26"/>
  <c r="AQ26" i="26"/>
  <c r="AP26" i="26"/>
  <c r="R26" i="26"/>
  <c r="AO26" i="26"/>
  <c r="Q26" i="26" s="1"/>
  <c r="AL26" i="26"/>
  <c r="AK26" i="26"/>
  <c r="AN26" i="26"/>
  <c r="W26" i="26" s="1"/>
  <c r="AI26" i="26"/>
  <c r="AH26" i="26"/>
  <c r="AJ26" i="26"/>
  <c r="S26" i="26"/>
  <c r="AX25" i="26"/>
  <c r="AY25" i="26"/>
  <c r="AW26" i="26"/>
  <c r="AR25" i="26"/>
  <c r="T25" i="26" s="1"/>
  <c r="AQ25" i="26"/>
  <c r="S25" i="26"/>
  <c r="AP25" i="26"/>
  <c r="R25" i="26" s="1"/>
  <c r="AO25" i="26"/>
  <c r="Q25" i="26" s="1"/>
  <c r="AL25" i="26"/>
  <c r="AK25" i="26"/>
  <c r="AN25" i="26"/>
  <c r="W25" i="26" s="1"/>
  <c r="AI25" i="26"/>
  <c r="AH25" i="26"/>
  <c r="AJ25" i="26"/>
  <c r="AX24" i="26"/>
  <c r="AY24" i="26"/>
  <c r="AR24" i="26"/>
  <c r="T24" i="26"/>
  <c r="AQ24" i="26"/>
  <c r="S24" i="26"/>
  <c r="AP24" i="26"/>
  <c r="R24" i="26"/>
  <c r="AO24" i="26"/>
  <c r="Q24" i="26"/>
  <c r="AL24" i="26"/>
  <c r="AK24" i="26"/>
  <c r="AN24" i="26" s="1"/>
  <c r="W24" i="26" s="1"/>
  <c r="AI24" i="26"/>
  <c r="AH24" i="26"/>
  <c r="AJ24" i="26" s="1"/>
  <c r="AX23" i="26"/>
  <c r="AY23" i="26" s="1"/>
  <c r="AW24" i="26"/>
  <c r="AR23" i="26"/>
  <c r="T23" i="26" s="1"/>
  <c r="AQ23" i="26"/>
  <c r="S23" i="26"/>
  <c r="AP23" i="26"/>
  <c r="R23" i="26" s="1"/>
  <c r="AO23" i="26"/>
  <c r="Q23" i="26"/>
  <c r="AL23" i="26"/>
  <c r="AK23" i="26"/>
  <c r="AI23" i="26"/>
  <c r="AH23" i="26"/>
  <c r="AX22" i="26"/>
  <c r="AY22" i="26"/>
  <c r="AR22" i="26"/>
  <c r="T22" i="26" s="1"/>
  <c r="AQ22" i="26"/>
  <c r="S22" i="26" s="1"/>
  <c r="AP22" i="26"/>
  <c r="R22" i="26" s="1"/>
  <c r="AO22" i="26"/>
  <c r="Q22" i="26" s="1"/>
  <c r="AL22" i="26"/>
  <c r="AK22" i="26"/>
  <c r="AI22" i="26"/>
  <c r="AH22" i="26"/>
  <c r="AX21" i="26"/>
  <c r="AY21" i="26" s="1"/>
  <c r="AW22" i="26"/>
  <c r="AR21" i="26"/>
  <c r="T21" i="26" s="1"/>
  <c r="AQ21" i="26"/>
  <c r="S21" i="26"/>
  <c r="AP21" i="26"/>
  <c r="R21" i="26" s="1"/>
  <c r="AO21" i="26"/>
  <c r="Q21" i="26"/>
  <c r="AL21" i="26"/>
  <c r="AK21" i="26"/>
  <c r="AI21" i="26"/>
  <c r="AH21" i="26"/>
  <c r="AJ21" i="26" s="1"/>
  <c r="AM21" i="26"/>
  <c r="V21" i="26" s="1"/>
  <c r="AX20" i="26"/>
  <c r="AY20" i="26" s="1"/>
  <c r="AW21" i="26"/>
  <c r="AR20" i="26"/>
  <c r="T20" i="26"/>
  <c r="AQ20" i="26"/>
  <c r="S20" i="26" s="1"/>
  <c r="AP20" i="26"/>
  <c r="R20" i="26"/>
  <c r="AO20" i="26"/>
  <c r="Q20" i="26" s="1"/>
  <c r="AL20" i="26"/>
  <c r="AK20" i="26"/>
  <c r="AN20" i="26"/>
  <c r="W20" i="26" s="1"/>
  <c r="AI20" i="26"/>
  <c r="AH20" i="26"/>
  <c r="AX19" i="26"/>
  <c r="AY19" i="26" s="1"/>
  <c r="AW20" i="26"/>
  <c r="AR19" i="26"/>
  <c r="T19" i="26" s="1"/>
  <c r="AQ19" i="26"/>
  <c r="S19" i="26"/>
  <c r="AP19" i="26"/>
  <c r="R19" i="26" s="1"/>
  <c r="AO19" i="26"/>
  <c r="Q19" i="26"/>
  <c r="AL19" i="26"/>
  <c r="AK19" i="26"/>
  <c r="AI19" i="26"/>
  <c r="AH19" i="26"/>
  <c r="AM19" i="26"/>
  <c r="V19" i="26" s="1"/>
  <c r="AX18" i="26"/>
  <c r="AW19" i="26"/>
  <c r="AR18" i="26"/>
  <c r="T18" i="26" s="1"/>
  <c r="AQ18" i="26"/>
  <c r="AP18" i="26"/>
  <c r="R18" i="26"/>
  <c r="AO18" i="26"/>
  <c r="Q18" i="26" s="1"/>
  <c r="AL18" i="26"/>
  <c r="AK18" i="26"/>
  <c r="AN18" i="26" s="1"/>
  <c r="W18" i="26" s="1"/>
  <c r="AI18" i="26"/>
  <c r="AH18" i="26"/>
  <c r="AJ18" i="26"/>
  <c r="S18" i="26"/>
  <c r="AX17" i="26"/>
  <c r="AW18" i="26"/>
  <c r="AR17" i="26"/>
  <c r="T17" i="26" s="1"/>
  <c r="AQ17" i="26"/>
  <c r="S17" i="26"/>
  <c r="AP17" i="26"/>
  <c r="R17" i="26" s="1"/>
  <c r="AO17" i="26"/>
  <c r="Q17" i="26"/>
  <c r="AL17" i="26"/>
  <c r="AN17" i="26" s="1"/>
  <c r="AK17" i="26"/>
  <c r="W17" i="26"/>
  <c r="AI17" i="26"/>
  <c r="AH17" i="26"/>
  <c r="AX16" i="26"/>
  <c r="AW17" i="26"/>
  <c r="AR16" i="26"/>
  <c r="T16" i="26" s="1"/>
  <c r="AQ16" i="26"/>
  <c r="S16" i="26"/>
  <c r="AP16" i="26"/>
  <c r="R16" i="26" s="1"/>
  <c r="AO16" i="26"/>
  <c r="Q16" i="26"/>
  <c r="AL16" i="26"/>
  <c r="AN16" i="26" s="1"/>
  <c r="AK16" i="26"/>
  <c r="W16" i="26"/>
  <c r="AI16" i="26"/>
  <c r="AJ16" i="26" s="1"/>
  <c r="AH16" i="26"/>
  <c r="AM16" i="26"/>
  <c r="V16" i="26" s="1"/>
  <c r="AX15" i="26"/>
  <c r="AY15" i="26"/>
  <c r="AW16" i="26"/>
  <c r="AR15" i="26"/>
  <c r="T15" i="26" s="1"/>
  <c r="AQ15" i="26"/>
  <c r="S15" i="26"/>
  <c r="AP15" i="26"/>
  <c r="R15" i="26" s="1"/>
  <c r="AO15" i="26"/>
  <c r="Q15" i="26"/>
  <c r="AL15" i="26"/>
  <c r="AN15" i="26" s="1"/>
  <c r="AK15" i="26"/>
  <c r="W15" i="26"/>
  <c r="AI15" i="26"/>
  <c r="AH15" i="26"/>
  <c r="AM15" i="26"/>
  <c r="V15" i="26"/>
  <c r="AX14" i="26"/>
  <c r="AW15" i="26"/>
  <c r="AR14" i="26"/>
  <c r="T14" i="26"/>
  <c r="AQ14" i="26"/>
  <c r="S14" i="26" s="1"/>
  <c r="AP14" i="26"/>
  <c r="R14" i="26"/>
  <c r="AO14" i="26"/>
  <c r="Q14" i="26" s="1"/>
  <c r="AL14" i="26"/>
  <c r="AK14" i="26"/>
  <c r="AN14" i="26"/>
  <c r="W14" i="26" s="1"/>
  <c r="AI14" i="26"/>
  <c r="AH14" i="26"/>
  <c r="AJ14" i="26"/>
  <c r="AX13" i="26"/>
  <c r="AW14" i="26"/>
  <c r="AR13" i="26"/>
  <c r="T13" i="26"/>
  <c r="AQ13" i="26"/>
  <c r="S13" i="26"/>
  <c r="AP13" i="26"/>
  <c r="R13" i="26"/>
  <c r="AO13" i="26"/>
  <c r="Q13" i="26"/>
  <c r="AL13" i="26"/>
  <c r="AK13" i="26"/>
  <c r="AN13" i="26" s="1"/>
  <c r="W13" i="26" s="1"/>
  <c r="AI13" i="26"/>
  <c r="AJ13" i="26" s="1"/>
  <c r="AH13" i="26"/>
  <c r="AX12" i="26"/>
  <c r="AY12" i="26"/>
  <c r="AW13" i="26"/>
  <c r="AR12" i="26"/>
  <c r="T12" i="26"/>
  <c r="AQ12" i="26"/>
  <c r="S12" i="26" s="1"/>
  <c r="AP12" i="26"/>
  <c r="R12" i="26"/>
  <c r="AO12" i="26"/>
  <c r="Q12" i="26" s="1"/>
  <c r="AL12" i="26"/>
  <c r="AK12" i="26"/>
  <c r="AN12" i="26" s="1"/>
  <c r="W12" i="26" s="1"/>
  <c r="AI12" i="26"/>
  <c r="AH12" i="26"/>
  <c r="AJ12" i="26"/>
  <c r="AX11" i="26"/>
  <c r="AW12" i="26"/>
  <c r="AR11" i="26"/>
  <c r="T11" i="26"/>
  <c r="AQ11" i="26"/>
  <c r="S11" i="26" s="1"/>
  <c r="AP11" i="26"/>
  <c r="R11" i="26"/>
  <c r="AO11" i="26"/>
  <c r="Q11" i="26" s="1"/>
  <c r="AL11" i="26"/>
  <c r="AK11" i="26"/>
  <c r="AN11" i="26" s="1"/>
  <c r="W11" i="26" s="1"/>
  <c r="AI11" i="26"/>
  <c r="AH11" i="26"/>
  <c r="AX10" i="26"/>
  <c r="AW10" i="26"/>
  <c r="AR10" i="26"/>
  <c r="T10" i="26" s="1"/>
  <c r="AQ10" i="26"/>
  <c r="S10" i="26"/>
  <c r="AP10" i="26"/>
  <c r="R10" i="26"/>
  <c r="AO10" i="26"/>
  <c r="AL10" i="26"/>
  <c r="AN10" i="26"/>
  <c r="W10" i="26"/>
  <c r="AK10" i="26"/>
  <c r="AI10" i="26"/>
  <c r="AH10" i="26"/>
  <c r="AJ10" i="26"/>
  <c r="Q10" i="26"/>
  <c r="AX9" i="26"/>
  <c r="AW9" i="26"/>
  <c r="AR9" i="26"/>
  <c r="T9" i="26"/>
  <c r="AQ9" i="26"/>
  <c r="S9" i="26"/>
  <c r="AP9" i="26"/>
  <c r="R9" i="26"/>
  <c r="AO9" i="26"/>
  <c r="Q9" i="26"/>
  <c r="AL9" i="26"/>
  <c r="AK9" i="26"/>
  <c r="AN9" i="26"/>
  <c r="W9" i="26"/>
  <c r="AI9" i="26"/>
  <c r="AH9" i="26"/>
  <c r="AJ9" i="26"/>
  <c r="AW8" i="26"/>
  <c r="AR8" i="26"/>
  <c r="T8" i="26"/>
  <c r="AQ8" i="26"/>
  <c r="S8" i="26"/>
  <c r="AP8" i="26"/>
  <c r="R8" i="26"/>
  <c r="AO8" i="26"/>
  <c r="AL8" i="26"/>
  <c r="AK8" i="26"/>
  <c r="AN8" i="26" s="1"/>
  <c r="W8" i="26" s="1"/>
  <c r="AI8" i="26"/>
  <c r="AJ8" i="26" s="1"/>
  <c r="AH8" i="26"/>
  <c r="Q8" i="26"/>
  <c r="D3" i="26"/>
  <c r="AB59" i="25"/>
  <c r="M53" i="25"/>
  <c r="S53" i="25"/>
  <c r="AK48" i="25"/>
  <c r="AW48" i="25"/>
  <c r="AW47" i="25"/>
  <c r="AM46" i="25"/>
  <c r="AW46" i="25"/>
  <c r="AW45" i="25"/>
  <c r="AQ44" i="25"/>
  <c r="AM44" i="25"/>
  <c r="AW44" i="25"/>
  <c r="AW43" i="25"/>
  <c r="AW42" i="25"/>
  <c r="AW41" i="25"/>
  <c r="AW40" i="25"/>
  <c r="AR38" i="25"/>
  <c r="T38" i="25"/>
  <c r="AQ38" i="25"/>
  <c r="S38" i="25" s="1"/>
  <c r="AP38" i="25"/>
  <c r="R38" i="25" s="1"/>
  <c r="AO38" i="25"/>
  <c r="Q38" i="25" s="1"/>
  <c r="AL38" i="25"/>
  <c r="AK38" i="25"/>
  <c r="AN38" i="25"/>
  <c r="W38" i="25" s="1"/>
  <c r="AI38" i="25"/>
  <c r="AH38" i="25"/>
  <c r="AJ38" i="25"/>
  <c r="AR37" i="25"/>
  <c r="T37" i="25" s="1"/>
  <c r="AQ37" i="25"/>
  <c r="S37" i="25"/>
  <c r="AP37" i="25"/>
  <c r="R37" i="25" s="1"/>
  <c r="AO37" i="25"/>
  <c r="Q37" i="25"/>
  <c r="AL37" i="25"/>
  <c r="AN37" i="25" s="1"/>
  <c r="W37" i="25" s="1"/>
  <c r="AK37" i="25"/>
  <c r="AI37" i="25"/>
  <c r="AJ37" i="25" s="1"/>
  <c r="AH37" i="25"/>
  <c r="AR36" i="25"/>
  <c r="T36" i="25" s="1"/>
  <c r="AQ36" i="25"/>
  <c r="S36" i="25"/>
  <c r="AP36" i="25"/>
  <c r="R36" i="25" s="1"/>
  <c r="AO36" i="25"/>
  <c r="Q36" i="25"/>
  <c r="AL36" i="25"/>
  <c r="AK36" i="25"/>
  <c r="AI36" i="25"/>
  <c r="AJ36" i="25"/>
  <c r="AH36" i="25"/>
  <c r="AW36" i="25"/>
  <c r="AR35" i="25"/>
  <c r="T35" i="25"/>
  <c r="AQ35" i="25"/>
  <c r="S35" i="25"/>
  <c r="AP35" i="25"/>
  <c r="R35" i="25"/>
  <c r="AO35" i="25"/>
  <c r="Q35" i="25"/>
  <c r="AL35" i="25"/>
  <c r="AK35" i="25"/>
  <c r="AN35" i="25"/>
  <c r="W35" i="25"/>
  <c r="AI35" i="25"/>
  <c r="AH35" i="25"/>
  <c r="AM35" i="25"/>
  <c r="V35" i="25"/>
  <c r="AW35" i="25"/>
  <c r="AR34" i="25"/>
  <c r="AQ34" i="25"/>
  <c r="S34" i="25"/>
  <c r="AP34" i="25"/>
  <c r="R34" i="25"/>
  <c r="AO34" i="25"/>
  <c r="Q34" i="25"/>
  <c r="AL34" i="25"/>
  <c r="AK34" i="25"/>
  <c r="AI34" i="25"/>
  <c r="AH34" i="25"/>
  <c r="AM34" i="25" s="1"/>
  <c r="V34" i="25"/>
  <c r="T34" i="25"/>
  <c r="AW34" i="25"/>
  <c r="AR33" i="25"/>
  <c r="T33" i="25"/>
  <c r="AQ33" i="25"/>
  <c r="S33" i="25"/>
  <c r="AP33" i="25"/>
  <c r="R33" i="25"/>
  <c r="AO33" i="25"/>
  <c r="Q33" i="25"/>
  <c r="AL33" i="25"/>
  <c r="AK33" i="25"/>
  <c r="AN33" i="25" s="1"/>
  <c r="W33" i="25" s="1"/>
  <c r="AI33" i="25"/>
  <c r="AH33" i="25"/>
  <c r="AW33" i="25"/>
  <c r="AR32" i="25"/>
  <c r="AQ32" i="25"/>
  <c r="S32" i="25"/>
  <c r="AP32" i="25"/>
  <c r="R32" i="25"/>
  <c r="AO32" i="25"/>
  <c r="Q32" i="25"/>
  <c r="AL32" i="25"/>
  <c r="AK32" i="25"/>
  <c r="AI32" i="25"/>
  <c r="AH32" i="25"/>
  <c r="AJ32" i="25" s="1"/>
  <c r="T32" i="25"/>
  <c r="AW32" i="25"/>
  <c r="AR31" i="25"/>
  <c r="T31" i="25" s="1"/>
  <c r="AQ31" i="25"/>
  <c r="S31" i="25" s="1"/>
  <c r="AP31" i="25"/>
  <c r="R31" i="25"/>
  <c r="AO31" i="25"/>
  <c r="Q31" i="25" s="1"/>
  <c r="AL31" i="25"/>
  <c r="AK31" i="25"/>
  <c r="AN31" i="25"/>
  <c r="W31" i="25" s="1"/>
  <c r="AI31" i="25"/>
  <c r="AH31" i="25"/>
  <c r="AM31" i="25"/>
  <c r="V31" i="25" s="1"/>
  <c r="AW31" i="25"/>
  <c r="AR30" i="25"/>
  <c r="T30" i="25"/>
  <c r="AQ30" i="25"/>
  <c r="S30" i="25"/>
  <c r="AP30" i="25"/>
  <c r="R30" i="25"/>
  <c r="AO30" i="25"/>
  <c r="Q30" i="25"/>
  <c r="AL30" i="25"/>
  <c r="AK30" i="25"/>
  <c r="AN30" i="25" s="1"/>
  <c r="W30" i="25"/>
  <c r="AI30" i="25"/>
  <c r="AH30" i="25"/>
  <c r="AX29" i="25"/>
  <c r="AY29" i="25" s="1"/>
  <c r="AW30" i="25"/>
  <c r="AR29" i="25"/>
  <c r="T29" i="25"/>
  <c r="AQ29" i="25"/>
  <c r="S29" i="25" s="1"/>
  <c r="AP29" i="25"/>
  <c r="R29" i="25"/>
  <c r="AO29" i="25"/>
  <c r="Q29" i="25" s="1"/>
  <c r="AL29" i="25"/>
  <c r="AN29" i="25" s="1"/>
  <c r="W29" i="25" s="1"/>
  <c r="AK29" i="25"/>
  <c r="AI29" i="25"/>
  <c r="AH29" i="25"/>
  <c r="AM29" i="25"/>
  <c r="V29" i="25" s="1"/>
  <c r="AX28" i="25"/>
  <c r="AY28" i="25"/>
  <c r="AW29" i="25"/>
  <c r="AR28" i="25"/>
  <c r="T28" i="25"/>
  <c r="AQ28" i="25"/>
  <c r="S28" i="25" s="1"/>
  <c r="AP28" i="25"/>
  <c r="R28" i="25" s="1"/>
  <c r="AO28" i="25"/>
  <c r="Q28" i="25"/>
  <c r="AL28" i="25"/>
  <c r="AN28" i="25" s="1"/>
  <c r="W28" i="25" s="1"/>
  <c r="AK28" i="25"/>
  <c r="AI28" i="25"/>
  <c r="AJ28" i="25" s="1"/>
  <c r="AH28" i="25"/>
  <c r="AX27" i="25"/>
  <c r="AY27" i="25" s="1"/>
  <c r="AW28" i="25"/>
  <c r="AR27" i="25"/>
  <c r="T27" i="25"/>
  <c r="AQ27" i="25"/>
  <c r="S27" i="25"/>
  <c r="AP27" i="25"/>
  <c r="R27" i="25"/>
  <c r="AO27" i="25"/>
  <c r="Q27" i="25"/>
  <c r="AL27" i="25"/>
  <c r="AK27" i="25"/>
  <c r="AN27" i="25" s="1"/>
  <c r="W27" i="25" s="1"/>
  <c r="AI27" i="25"/>
  <c r="AH27" i="25"/>
  <c r="AX26" i="25"/>
  <c r="AY26" i="25" s="1"/>
  <c r="AW27" i="25"/>
  <c r="AR26" i="25"/>
  <c r="T26" i="25"/>
  <c r="AQ26" i="25"/>
  <c r="S26" i="25" s="1"/>
  <c r="AP26" i="25"/>
  <c r="R26" i="25"/>
  <c r="AO26" i="25"/>
  <c r="AL26" i="25"/>
  <c r="AK26" i="25"/>
  <c r="AI26" i="25"/>
  <c r="AJ26" i="25" s="1"/>
  <c r="AH26" i="25"/>
  <c r="AM26" i="25"/>
  <c r="V26" i="25"/>
  <c r="Q26" i="25"/>
  <c r="AX25" i="25"/>
  <c r="AY25" i="25"/>
  <c r="AW26" i="25"/>
  <c r="AR25" i="25"/>
  <c r="T25" i="25" s="1"/>
  <c r="AQ25" i="25"/>
  <c r="S25" i="25"/>
  <c r="AP25" i="25"/>
  <c r="R25" i="25" s="1"/>
  <c r="AO25" i="25"/>
  <c r="Q25" i="25"/>
  <c r="AL25" i="25"/>
  <c r="AN25" i="25" s="1"/>
  <c r="W25" i="25" s="1"/>
  <c r="AK25" i="25"/>
  <c r="AI25" i="25"/>
  <c r="AH25" i="25"/>
  <c r="AX24" i="25"/>
  <c r="AY24" i="25"/>
  <c r="AR24" i="25"/>
  <c r="T24" i="25" s="1"/>
  <c r="AQ24" i="25"/>
  <c r="S24" i="25"/>
  <c r="AP24" i="25"/>
  <c r="R24" i="25" s="1"/>
  <c r="AO24" i="25"/>
  <c r="Q24" i="25"/>
  <c r="AL24" i="25"/>
  <c r="AN24" i="25" s="1"/>
  <c r="W24" i="25" s="1"/>
  <c r="AK24" i="25"/>
  <c r="AI24" i="25"/>
  <c r="AJ24" i="25" s="1"/>
  <c r="AH24" i="25"/>
  <c r="AX23" i="25"/>
  <c r="AY23" i="25" s="1"/>
  <c r="AW24" i="25"/>
  <c r="AR23" i="25"/>
  <c r="T23" i="25"/>
  <c r="AQ23" i="25"/>
  <c r="S23" i="25" s="1"/>
  <c r="AP23" i="25"/>
  <c r="R23" i="25"/>
  <c r="AO23" i="25"/>
  <c r="Q23" i="25" s="1"/>
  <c r="AL23" i="25"/>
  <c r="AK23" i="25"/>
  <c r="AN23" i="25"/>
  <c r="W23" i="25" s="1"/>
  <c r="AI23" i="25"/>
  <c r="AH23" i="25"/>
  <c r="AJ23" i="25" s="1"/>
  <c r="AX22" i="25"/>
  <c r="AY22" i="25"/>
  <c r="AR22" i="25"/>
  <c r="T22" i="25"/>
  <c r="AQ22" i="25"/>
  <c r="S22" i="25"/>
  <c r="AP22" i="25"/>
  <c r="R22" i="25"/>
  <c r="AO22" i="25"/>
  <c r="Q22" i="25"/>
  <c r="AL22" i="25"/>
  <c r="AK22" i="25"/>
  <c r="AI22" i="25"/>
  <c r="AH22" i="25"/>
  <c r="AX21" i="25"/>
  <c r="AY21" i="25"/>
  <c r="AW22" i="25"/>
  <c r="AR21" i="25"/>
  <c r="T21" i="25" s="1"/>
  <c r="AQ21" i="25"/>
  <c r="S21" i="25"/>
  <c r="AP21" i="25"/>
  <c r="R21" i="25" s="1"/>
  <c r="AO21" i="25"/>
  <c r="Q21" i="25"/>
  <c r="AL21" i="25"/>
  <c r="AK21" i="25"/>
  <c r="AI21" i="25"/>
  <c r="AH21" i="25"/>
  <c r="AX20" i="25"/>
  <c r="AY20" i="25"/>
  <c r="AW21" i="25"/>
  <c r="AR20" i="25"/>
  <c r="T20" i="25" s="1"/>
  <c r="AQ20" i="25"/>
  <c r="AP20" i="25"/>
  <c r="R20" i="25" s="1"/>
  <c r="AO20" i="25"/>
  <c r="Q20" i="25" s="1"/>
  <c r="AL20" i="25"/>
  <c r="AK20" i="25"/>
  <c r="AI20" i="25"/>
  <c r="AH20" i="25"/>
  <c r="S20" i="25"/>
  <c r="AX19" i="25"/>
  <c r="AY19" i="25" s="1"/>
  <c r="AW20" i="25"/>
  <c r="AR19" i="25"/>
  <c r="T19" i="25" s="1"/>
  <c r="AQ19" i="25"/>
  <c r="S19" i="25"/>
  <c r="AP19" i="25"/>
  <c r="R19" i="25" s="1"/>
  <c r="AO19" i="25"/>
  <c r="Q19" i="25"/>
  <c r="AL19" i="25"/>
  <c r="AN19" i="25" s="1"/>
  <c r="W19" i="25" s="1"/>
  <c r="AK19" i="25"/>
  <c r="AI19" i="25"/>
  <c r="AH19" i="25"/>
  <c r="AX18" i="25"/>
  <c r="AW19" i="25"/>
  <c r="AR18" i="25"/>
  <c r="T18" i="25"/>
  <c r="AQ18" i="25"/>
  <c r="S18" i="25"/>
  <c r="AP18" i="25"/>
  <c r="R18" i="25"/>
  <c r="AO18" i="25"/>
  <c r="Q18" i="25"/>
  <c r="AL18" i="25"/>
  <c r="AK18" i="25"/>
  <c r="AN18" i="25"/>
  <c r="W18" i="25"/>
  <c r="AI18" i="25"/>
  <c r="AH18" i="25"/>
  <c r="AX17" i="25"/>
  <c r="AY17" i="25"/>
  <c r="AW18" i="25"/>
  <c r="AR17" i="25"/>
  <c r="T17" i="25"/>
  <c r="AQ17" i="25"/>
  <c r="S17" i="25" s="1"/>
  <c r="AP17" i="25"/>
  <c r="R17" i="25"/>
  <c r="AO17" i="25"/>
  <c r="Q17" i="25" s="1"/>
  <c r="AL17" i="25"/>
  <c r="AK17" i="25"/>
  <c r="AN17" i="25" s="1"/>
  <c r="W17" i="25" s="1"/>
  <c r="AI17" i="25"/>
  <c r="AH17" i="25"/>
  <c r="AM17" i="25" s="1"/>
  <c r="V17" i="25" s="1"/>
  <c r="AX16" i="25"/>
  <c r="AW17" i="25"/>
  <c r="AR16" i="25"/>
  <c r="T16" i="25" s="1"/>
  <c r="AQ16" i="25"/>
  <c r="S16" i="25"/>
  <c r="AP16" i="25"/>
  <c r="R16" i="25" s="1"/>
  <c r="AO16" i="25"/>
  <c r="Q16" i="25"/>
  <c r="AL16" i="25"/>
  <c r="AK16" i="25"/>
  <c r="AN16" i="25" s="1"/>
  <c r="W16" i="25" s="1"/>
  <c r="AI16" i="25"/>
  <c r="AH16" i="25"/>
  <c r="AX15" i="25"/>
  <c r="AY15" i="25"/>
  <c r="AW16" i="25"/>
  <c r="AR15" i="25"/>
  <c r="T15" i="25"/>
  <c r="AQ15" i="25"/>
  <c r="S15" i="25" s="1"/>
  <c r="AP15" i="25"/>
  <c r="R15" i="25"/>
  <c r="AO15" i="25"/>
  <c r="AL15" i="25"/>
  <c r="AK15" i="25"/>
  <c r="AM15" i="25"/>
  <c r="V15" i="25" s="1"/>
  <c r="AI15" i="25"/>
  <c r="AH15" i="25"/>
  <c r="AJ15" i="25"/>
  <c r="Q15" i="25"/>
  <c r="AX14" i="25"/>
  <c r="AW15" i="25"/>
  <c r="AR14" i="25"/>
  <c r="T14" i="25" s="1"/>
  <c r="AQ14" i="25"/>
  <c r="S14" i="25" s="1"/>
  <c r="AP14" i="25"/>
  <c r="R14" i="25"/>
  <c r="AO14" i="25"/>
  <c r="Q14" i="25" s="1"/>
  <c r="AL14" i="25"/>
  <c r="AK14" i="25"/>
  <c r="AN14" i="25"/>
  <c r="W14" i="25" s="1"/>
  <c r="AI14" i="25"/>
  <c r="AH14" i="25"/>
  <c r="AJ14" i="25"/>
  <c r="AX13" i="25"/>
  <c r="AW14" i="25"/>
  <c r="AR13" i="25"/>
  <c r="T13" i="25" s="1"/>
  <c r="AQ13" i="25"/>
  <c r="S13" i="25"/>
  <c r="AP13" i="25"/>
  <c r="R13" i="25" s="1"/>
  <c r="AO13" i="25"/>
  <c r="Q13" i="25"/>
  <c r="AL13" i="25"/>
  <c r="AK13" i="25"/>
  <c r="AI13" i="25"/>
  <c r="AH13" i="25"/>
  <c r="AX12" i="25"/>
  <c r="AW13" i="25"/>
  <c r="AR12" i="25"/>
  <c r="AQ12" i="25"/>
  <c r="S12" i="25" s="1"/>
  <c r="AP12" i="25"/>
  <c r="R12" i="25" s="1"/>
  <c r="AO12" i="25"/>
  <c r="Q12" i="25"/>
  <c r="AL12" i="25"/>
  <c r="AN12" i="25" s="1"/>
  <c r="W12" i="25" s="1"/>
  <c r="AK12" i="25"/>
  <c r="AI12" i="25"/>
  <c r="AJ12" i="25" s="1"/>
  <c r="AH12" i="25"/>
  <c r="T12" i="25"/>
  <c r="AX11" i="25"/>
  <c r="AW12" i="25"/>
  <c r="AR11" i="25"/>
  <c r="T11" i="25" s="1"/>
  <c r="AQ11" i="25"/>
  <c r="S11" i="25"/>
  <c r="AP11" i="25"/>
  <c r="R11" i="25" s="1"/>
  <c r="AO11" i="25"/>
  <c r="Q11" i="25"/>
  <c r="AL11" i="25"/>
  <c r="AK11" i="25"/>
  <c r="AI11" i="25"/>
  <c r="AH11" i="25"/>
  <c r="AX10" i="25"/>
  <c r="AW10" i="25"/>
  <c r="AR10" i="25"/>
  <c r="T10" i="25"/>
  <c r="AQ10" i="25"/>
  <c r="S10" i="25" s="1"/>
  <c r="AP10" i="25"/>
  <c r="R10" i="25"/>
  <c r="AO10" i="25"/>
  <c r="Q10" i="25" s="1"/>
  <c r="AL10" i="25"/>
  <c r="AK10" i="25"/>
  <c r="AM10" i="25"/>
  <c r="V10" i="25" s="1"/>
  <c r="AI10" i="25"/>
  <c r="AH10" i="25"/>
  <c r="AJ10" i="25"/>
  <c r="AX9" i="25"/>
  <c r="AW9" i="25"/>
  <c r="AR9" i="25"/>
  <c r="T9" i="25" s="1"/>
  <c r="AQ9" i="25"/>
  <c r="AP9" i="25"/>
  <c r="R9" i="25" s="1"/>
  <c r="AO9" i="25"/>
  <c r="Q9" i="25"/>
  <c r="AL9" i="25"/>
  <c r="AK9" i="25"/>
  <c r="AI9" i="25"/>
  <c r="AJ9" i="25"/>
  <c r="AH9" i="25"/>
  <c r="AM9" i="25" s="1"/>
  <c r="V9" i="25" s="1"/>
  <c r="S9" i="25"/>
  <c r="AW8" i="25"/>
  <c r="AR8" i="25"/>
  <c r="T8" i="25" s="1"/>
  <c r="AQ8" i="25"/>
  <c r="S8" i="25"/>
  <c r="AP8" i="25"/>
  <c r="R8" i="25" s="1"/>
  <c r="AO8" i="25"/>
  <c r="Q8" i="25"/>
  <c r="AL8" i="25"/>
  <c r="AN8" i="25" s="1"/>
  <c r="AK8" i="25"/>
  <c r="W8" i="25"/>
  <c r="AI8" i="25"/>
  <c r="AJ8" i="25" s="1"/>
  <c r="AH8" i="25"/>
  <c r="D3" i="25"/>
  <c r="AB58" i="24"/>
  <c r="M52" i="24"/>
  <c r="S52" i="24"/>
  <c r="AK47" i="24"/>
  <c r="AW47" i="24"/>
  <c r="AW46" i="24"/>
  <c r="AM45" i="24"/>
  <c r="AW45" i="24"/>
  <c r="AW44" i="24"/>
  <c r="AQ43" i="24"/>
  <c r="AM43" i="24"/>
  <c r="AW43" i="24"/>
  <c r="AW42" i="24"/>
  <c r="AW41" i="24"/>
  <c r="AW40" i="24"/>
  <c r="AW39" i="24"/>
  <c r="AR37" i="24"/>
  <c r="T37" i="24"/>
  <c r="AQ37" i="24"/>
  <c r="S37" i="24" s="1"/>
  <c r="AP37" i="24"/>
  <c r="R37" i="24"/>
  <c r="AO37" i="24"/>
  <c r="Q37" i="24" s="1"/>
  <c r="AL37" i="24"/>
  <c r="AK37" i="24"/>
  <c r="AN37" i="24"/>
  <c r="W37" i="24" s="1"/>
  <c r="AI37" i="24"/>
  <c r="AH37" i="24"/>
  <c r="AJ37" i="24" s="1"/>
  <c r="AR36" i="24"/>
  <c r="T36" i="24" s="1"/>
  <c r="AQ36" i="24"/>
  <c r="S36" i="24"/>
  <c r="AP36" i="24"/>
  <c r="AO36" i="24"/>
  <c r="Q36" i="24"/>
  <c r="AL36" i="24"/>
  <c r="AN36" i="24"/>
  <c r="W36" i="24" s="1"/>
  <c r="AK36" i="24"/>
  <c r="AI36" i="24"/>
  <c r="AH36" i="24"/>
  <c r="AM36" i="24" s="1"/>
  <c r="V36" i="24" s="1"/>
  <c r="R36" i="24"/>
  <c r="AW36" i="24"/>
  <c r="AR35" i="24"/>
  <c r="T35" i="24"/>
  <c r="AQ35" i="24"/>
  <c r="S35" i="24" s="1"/>
  <c r="AP35" i="24"/>
  <c r="R35" i="24"/>
  <c r="AO35" i="24"/>
  <c r="Q35" i="24" s="1"/>
  <c r="AL35" i="24"/>
  <c r="AK35" i="24"/>
  <c r="AM35" i="24"/>
  <c r="V35" i="24" s="1"/>
  <c r="AI35" i="24"/>
  <c r="AH35" i="24"/>
  <c r="AW35" i="24"/>
  <c r="AR34" i="24"/>
  <c r="T34" i="24" s="1"/>
  <c r="AQ34" i="24"/>
  <c r="S34" i="24"/>
  <c r="AP34" i="24"/>
  <c r="R34" i="24" s="1"/>
  <c r="AO34" i="24"/>
  <c r="Q34" i="24"/>
  <c r="AL34" i="24"/>
  <c r="AN34" i="24" s="1"/>
  <c r="W34" i="24" s="1"/>
  <c r="AK34" i="24"/>
  <c r="AI34" i="24"/>
  <c r="AJ34" i="24" s="1"/>
  <c r="AH34" i="24"/>
  <c r="AW34" i="24"/>
  <c r="AR33" i="24"/>
  <c r="T33" i="24" s="1"/>
  <c r="AQ33" i="24"/>
  <c r="S33" i="24"/>
  <c r="AP33" i="24"/>
  <c r="R33" i="24" s="1"/>
  <c r="AO33" i="24"/>
  <c r="Q33" i="24"/>
  <c r="AL33" i="24"/>
  <c r="AN33" i="24" s="1"/>
  <c r="W33" i="24" s="1"/>
  <c r="AK33" i="24"/>
  <c r="AI33" i="24"/>
  <c r="AJ33" i="24" s="1"/>
  <c r="AH33" i="24"/>
  <c r="AW33" i="24"/>
  <c r="AR32" i="24"/>
  <c r="T32" i="24" s="1"/>
  <c r="AQ32" i="24"/>
  <c r="S32" i="24"/>
  <c r="AP32" i="24"/>
  <c r="R32" i="24" s="1"/>
  <c r="AO32" i="24"/>
  <c r="Q32" i="24"/>
  <c r="AL32" i="24"/>
  <c r="AN32" i="24" s="1"/>
  <c r="W32" i="24" s="1"/>
  <c r="AK32" i="24"/>
  <c r="AI32" i="24"/>
  <c r="AH32" i="24"/>
  <c r="AJ32" i="24" s="1"/>
  <c r="AM32" i="24"/>
  <c r="V32" i="24" s="1"/>
  <c r="AW32" i="24"/>
  <c r="AR31" i="24"/>
  <c r="T31" i="24"/>
  <c r="AQ31" i="24"/>
  <c r="S31" i="24" s="1"/>
  <c r="AP31" i="24"/>
  <c r="R31" i="24"/>
  <c r="AO31" i="24"/>
  <c r="Q31" i="24" s="1"/>
  <c r="AL31" i="24"/>
  <c r="AK31" i="24"/>
  <c r="AN31" i="24"/>
  <c r="W31" i="24" s="1"/>
  <c r="AI31" i="24"/>
  <c r="AH31" i="24"/>
  <c r="AW31" i="24"/>
  <c r="AR30" i="24"/>
  <c r="T30" i="24"/>
  <c r="AQ30" i="24"/>
  <c r="S30" i="24" s="1"/>
  <c r="AP30" i="24"/>
  <c r="R30" i="24"/>
  <c r="AO30" i="24"/>
  <c r="Q30" i="24" s="1"/>
  <c r="AL30" i="24"/>
  <c r="AK30" i="24"/>
  <c r="AN30" i="24"/>
  <c r="W30" i="24" s="1"/>
  <c r="AI30" i="24"/>
  <c r="AH30" i="24"/>
  <c r="AJ30" i="24" s="1"/>
  <c r="AM30" i="24"/>
  <c r="V30" i="24" s="1"/>
  <c r="AX29" i="24"/>
  <c r="AY29" i="24"/>
  <c r="AW30" i="24"/>
  <c r="AR29" i="24"/>
  <c r="T29" i="24"/>
  <c r="AQ29" i="24"/>
  <c r="S29" i="24" s="1"/>
  <c r="AP29" i="24"/>
  <c r="R29" i="24"/>
  <c r="AO29" i="24"/>
  <c r="Q29" i="24" s="1"/>
  <c r="AL29" i="24"/>
  <c r="AK29" i="24"/>
  <c r="AI29" i="24"/>
  <c r="AH29" i="24"/>
  <c r="AX28" i="24"/>
  <c r="AY28" i="24" s="1"/>
  <c r="AW29" i="24"/>
  <c r="AR28" i="24"/>
  <c r="T28" i="24" s="1"/>
  <c r="AQ28" i="24"/>
  <c r="S28" i="24" s="1"/>
  <c r="AP28" i="24"/>
  <c r="AO28" i="24"/>
  <c r="Q28" i="24" s="1"/>
  <c r="AL28" i="24"/>
  <c r="AK28" i="24"/>
  <c r="AN28" i="24"/>
  <c r="W28" i="24" s="1"/>
  <c r="AI28" i="24"/>
  <c r="AH28" i="24"/>
  <c r="AM28" i="24"/>
  <c r="V28" i="24" s="1"/>
  <c r="R28" i="24"/>
  <c r="AX27" i="24"/>
  <c r="AY27" i="24" s="1"/>
  <c r="AW28" i="24"/>
  <c r="AR27" i="24"/>
  <c r="T27" i="24"/>
  <c r="AQ27" i="24"/>
  <c r="S27" i="24" s="1"/>
  <c r="AP27" i="24"/>
  <c r="R27" i="24"/>
  <c r="AO27" i="24"/>
  <c r="Q27" i="24" s="1"/>
  <c r="AL27" i="24"/>
  <c r="AK27" i="24"/>
  <c r="AN27" i="24"/>
  <c r="W27" i="24" s="1"/>
  <c r="AI27" i="24"/>
  <c r="AH27" i="24"/>
  <c r="AX26" i="24"/>
  <c r="AY26" i="24" s="1"/>
  <c r="AW27" i="24"/>
  <c r="AR26" i="24"/>
  <c r="T26" i="24" s="1"/>
  <c r="AQ26" i="24"/>
  <c r="S26" i="24"/>
  <c r="AP26" i="24"/>
  <c r="R26" i="24" s="1"/>
  <c r="AO26" i="24"/>
  <c r="Q26" i="24"/>
  <c r="AL26" i="24"/>
  <c r="AK26" i="24"/>
  <c r="AI26" i="24"/>
  <c r="AJ26" i="24"/>
  <c r="AH26" i="24"/>
  <c r="AX25" i="24"/>
  <c r="AY25" i="24" s="1"/>
  <c r="AW26" i="24"/>
  <c r="AR25" i="24"/>
  <c r="T25" i="24" s="1"/>
  <c r="AQ25" i="24"/>
  <c r="S25" i="24"/>
  <c r="AP25" i="24"/>
  <c r="R25" i="24" s="1"/>
  <c r="AO25" i="24"/>
  <c r="Q25" i="24"/>
  <c r="AL25" i="24"/>
  <c r="AK25" i="24"/>
  <c r="AI25" i="24"/>
  <c r="AH25" i="24"/>
  <c r="AJ25" i="24" s="1"/>
  <c r="AX24" i="24"/>
  <c r="AY24" i="24"/>
  <c r="AR24" i="24"/>
  <c r="T24" i="24" s="1"/>
  <c r="AQ24" i="24"/>
  <c r="S24" i="24"/>
  <c r="R48" i="24" s="1"/>
  <c r="AP24" i="24"/>
  <c r="R24" i="24" s="1"/>
  <c r="AO24" i="24"/>
  <c r="Q24" i="24"/>
  <c r="AL24" i="24"/>
  <c r="AK24" i="24"/>
  <c r="AI24" i="24"/>
  <c r="AH24" i="24"/>
  <c r="AM24" i="24" s="1"/>
  <c r="V24" i="24" s="1"/>
  <c r="AX23" i="24"/>
  <c r="AY23" i="24" s="1"/>
  <c r="AW24" i="24"/>
  <c r="AR23" i="24"/>
  <c r="T23" i="24" s="1"/>
  <c r="AQ23" i="24"/>
  <c r="S23" i="24"/>
  <c r="AP23" i="24"/>
  <c r="R23" i="24" s="1"/>
  <c r="AO23" i="24"/>
  <c r="Q23" i="24"/>
  <c r="AL23" i="24"/>
  <c r="AK23" i="24"/>
  <c r="AI23" i="24"/>
  <c r="AH23" i="24"/>
  <c r="AJ23" i="24" s="1"/>
  <c r="AX22" i="24"/>
  <c r="AY22" i="24"/>
  <c r="AR22" i="24"/>
  <c r="T22" i="24" s="1"/>
  <c r="AQ22" i="24"/>
  <c r="S22" i="24"/>
  <c r="AP22" i="24"/>
  <c r="R22" i="24" s="1"/>
  <c r="AO22" i="24"/>
  <c r="Q22" i="24"/>
  <c r="AL22" i="24"/>
  <c r="AK22" i="24"/>
  <c r="V22" i="24"/>
  <c r="AN22" i="24"/>
  <c r="W22" i="24" s="1"/>
  <c r="AI22" i="24"/>
  <c r="AH22" i="24"/>
  <c r="AM22" i="24" s="1"/>
  <c r="AJ22" i="24"/>
  <c r="AX21" i="24"/>
  <c r="AY21" i="24"/>
  <c r="AW22" i="24"/>
  <c r="AR21" i="24"/>
  <c r="T21" i="24" s="1"/>
  <c r="AQ21" i="24"/>
  <c r="S21" i="24"/>
  <c r="AP21" i="24"/>
  <c r="R21" i="24" s="1"/>
  <c r="AO21" i="24"/>
  <c r="Q21" i="24"/>
  <c r="AL21" i="24"/>
  <c r="AK21" i="24"/>
  <c r="AI21" i="24"/>
  <c r="AH21" i="24"/>
  <c r="AJ21" i="24" s="1"/>
  <c r="AX20" i="24"/>
  <c r="AY20" i="24" s="1"/>
  <c r="AW21" i="24"/>
  <c r="AR20" i="24"/>
  <c r="T20" i="24"/>
  <c r="AQ20" i="24"/>
  <c r="AP20" i="24"/>
  <c r="R20" i="24"/>
  <c r="AO20" i="24"/>
  <c r="Q20" i="24" s="1"/>
  <c r="AL20" i="24"/>
  <c r="AK20" i="24"/>
  <c r="AN20" i="24"/>
  <c r="W20" i="24" s="1"/>
  <c r="AI20" i="24"/>
  <c r="AH20" i="24"/>
  <c r="AJ20" i="24"/>
  <c r="S20" i="24"/>
  <c r="AX19" i="24"/>
  <c r="AY19" i="24"/>
  <c r="AW20" i="24"/>
  <c r="AR19" i="24"/>
  <c r="T19" i="24" s="1"/>
  <c r="AQ19" i="24"/>
  <c r="S19" i="24"/>
  <c r="AP19" i="24"/>
  <c r="R19" i="24" s="1"/>
  <c r="AO19" i="24"/>
  <c r="Q19" i="24"/>
  <c r="AL19" i="24"/>
  <c r="AN19" i="24" s="1"/>
  <c r="W19" i="24" s="1"/>
  <c r="AK19" i="24"/>
  <c r="AI19" i="24"/>
  <c r="AH19" i="24"/>
  <c r="AJ19" i="24" s="1"/>
  <c r="AM19" i="24"/>
  <c r="V19" i="24" s="1"/>
  <c r="AX18" i="24"/>
  <c r="AW19" i="24"/>
  <c r="AR18" i="24"/>
  <c r="T18" i="24" s="1"/>
  <c r="AQ18" i="24"/>
  <c r="S18" i="24"/>
  <c r="AP18" i="24"/>
  <c r="R18" i="24" s="1"/>
  <c r="AO18" i="24"/>
  <c r="Q18" i="24"/>
  <c r="AL18" i="24"/>
  <c r="AN18" i="24" s="1"/>
  <c r="W18" i="24" s="1"/>
  <c r="AK18" i="24"/>
  <c r="AI18" i="24"/>
  <c r="AH18" i="24"/>
  <c r="AM18" i="24" s="1"/>
  <c r="V18" i="24" s="1"/>
  <c r="AX17" i="24"/>
  <c r="AW18" i="24"/>
  <c r="AR17" i="24"/>
  <c r="T17" i="24"/>
  <c r="AQ17" i="24"/>
  <c r="S17" i="24" s="1"/>
  <c r="AP17" i="24"/>
  <c r="R17" i="24"/>
  <c r="AO17" i="24"/>
  <c r="Q17" i="24" s="1"/>
  <c r="AL17" i="24"/>
  <c r="AN17" i="24"/>
  <c r="W17" i="24" s="1"/>
  <c r="AK17" i="24"/>
  <c r="AI17" i="24"/>
  <c r="AH17" i="24"/>
  <c r="AX16" i="24"/>
  <c r="AW17" i="24"/>
  <c r="AR16" i="24"/>
  <c r="T16" i="24"/>
  <c r="AQ16" i="24"/>
  <c r="S16" i="24"/>
  <c r="AP16" i="24"/>
  <c r="R16" i="24"/>
  <c r="AO16" i="24"/>
  <c r="Q16" i="24"/>
  <c r="AL16" i="24"/>
  <c r="AK16" i="24"/>
  <c r="AI16" i="24"/>
  <c r="AH16" i="24"/>
  <c r="AJ16" i="24" s="1"/>
  <c r="AX15" i="24"/>
  <c r="AY15" i="24" s="1"/>
  <c r="AW16" i="24"/>
  <c r="AR15" i="24"/>
  <c r="T15" i="24" s="1"/>
  <c r="AQ15" i="24"/>
  <c r="S15" i="24"/>
  <c r="AP15" i="24"/>
  <c r="R15" i="24" s="1"/>
  <c r="AO15" i="24"/>
  <c r="Q15" i="24"/>
  <c r="AL15" i="24"/>
  <c r="AN15" i="24" s="1"/>
  <c r="W15" i="24" s="1"/>
  <c r="AK15" i="24"/>
  <c r="AI15" i="24"/>
  <c r="AH15" i="24"/>
  <c r="AM15" i="24" s="1"/>
  <c r="V15" i="24" s="1"/>
  <c r="AX14" i="24"/>
  <c r="AW15" i="24"/>
  <c r="AR14" i="24"/>
  <c r="T14" i="24"/>
  <c r="AQ14" i="24"/>
  <c r="S14" i="24" s="1"/>
  <c r="AP14" i="24"/>
  <c r="R14" i="24"/>
  <c r="AO14" i="24"/>
  <c r="Q14" i="24" s="1"/>
  <c r="AL14" i="24"/>
  <c r="AN14" i="24"/>
  <c r="W14" i="24" s="1"/>
  <c r="AK14" i="24"/>
  <c r="AI14" i="24"/>
  <c r="AH14" i="24"/>
  <c r="AM14" i="24" s="1"/>
  <c r="V14" i="24" s="1"/>
  <c r="AX13" i="24"/>
  <c r="AW14" i="24"/>
  <c r="AR13" i="24"/>
  <c r="T13" i="24" s="1"/>
  <c r="AQ13" i="24"/>
  <c r="S13" i="24"/>
  <c r="AP13" i="24"/>
  <c r="R13" i="24" s="1"/>
  <c r="AO13" i="24"/>
  <c r="Q13" i="24"/>
  <c r="AL13" i="24"/>
  <c r="AK13" i="24"/>
  <c r="AI13" i="24"/>
  <c r="AH13" i="24"/>
  <c r="AX12" i="24"/>
  <c r="AW13" i="24"/>
  <c r="AR12" i="24"/>
  <c r="T12" i="24"/>
  <c r="AQ12" i="24"/>
  <c r="S12" i="24" s="1"/>
  <c r="AP12" i="24"/>
  <c r="R12" i="24"/>
  <c r="AO12" i="24"/>
  <c r="Q12" i="24" s="1"/>
  <c r="AL12" i="24"/>
  <c r="AK12" i="24"/>
  <c r="AM12" i="24" s="1"/>
  <c r="V12" i="24" s="1"/>
  <c r="AI12" i="24"/>
  <c r="AH12" i="24"/>
  <c r="AX11" i="24"/>
  <c r="AW12" i="24"/>
  <c r="AR11" i="24"/>
  <c r="T11" i="24"/>
  <c r="AQ11" i="24"/>
  <c r="S11" i="24"/>
  <c r="AP11" i="24"/>
  <c r="R11" i="24" s="1"/>
  <c r="AO11" i="24"/>
  <c r="Q11" i="24" s="1"/>
  <c r="AL11" i="24"/>
  <c r="AK11" i="24"/>
  <c r="AN11" i="24" s="1"/>
  <c r="W11" i="24" s="1"/>
  <c r="AI11" i="24"/>
  <c r="AH11" i="24"/>
  <c r="AJ11" i="24" s="1"/>
  <c r="AX10" i="24"/>
  <c r="AW10" i="24"/>
  <c r="AR10" i="24"/>
  <c r="T10" i="24" s="1"/>
  <c r="AQ10" i="24"/>
  <c r="S10" i="24"/>
  <c r="AP10" i="24"/>
  <c r="R10" i="24" s="1"/>
  <c r="AO10" i="24"/>
  <c r="Q10" i="24"/>
  <c r="AL10" i="24"/>
  <c r="AN10" i="24" s="1"/>
  <c r="AK10" i="24"/>
  <c r="W10" i="24"/>
  <c r="AI10" i="24"/>
  <c r="AJ10" i="24" s="1"/>
  <c r="AH10" i="24"/>
  <c r="M45" i="24"/>
  <c r="AX9" i="24"/>
  <c r="AW9" i="24"/>
  <c r="AR9" i="24"/>
  <c r="T9" i="24"/>
  <c r="AQ9" i="24"/>
  <c r="S9" i="24"/>
  <c r="AP9" i="24"/>
  <c r="R9" i="24"/>
  <c r="AO9" i="24"/>
  <c r="Q9" i="24"/>
  <c r="AL9" i="24"/>
  <c r="AK9" i="24"/>
  <c r="AI9" i="24"/>
  <c r="AJ9" i="24" s="1"/>
  <c r="AH9" i="24"/>
  <c r="AW8" i="24"/>
  <c r="AR8" i="24"/>
  <c r="T8" i="24" s="1"/>
  <c r="AQ8" i="24"/>
  <c r="S8" i="24"/>
  <c r="AP8" i="24"/>
  <c r="R8" i="24" s="1"/>
  <c r="AO8" i="24"/>
  <c r="Q8" i="24"/>
  <c r="AL8" i="24"/>
  <c r="AN8" i="24" s="1"/>
  <c r="W8" i="24" s="1"/>
  <c r="AK8" i="24"/>
  <c r="AI8" i="24"/>
  <c r="AJ8" i="24" s="1"/>
  <c r="AH8" i="24"/>
  <c r="D3" i="24"/>
  <c r="AB59" i="23"/>
  <c r="M53" i="23"/>
  <c r="S53" i="23"/>
  <c r="AK48" i="23"/>
  <c r="AW48" i="23"/>
  <c r="AW47" i="23"/>
  <c r="AM46" i="23"/>
  <c r="AW46" i="23"/>
  <c r="AW45" i="23"/>
  <c r="AQ44" i="23"/>
  <c r="AM44" i="23"/>
  <c r="AW44" i="23"/>
  <c r="AW43" i="23"/>
  <c r="AW42" i="23"/>
  <c r="AW41" i="23"/>
  <c r="AW40" i="23"/>
  <c r="AR38" i="23"/>
  <c r="T38" i="23" s="1"/>
  <c r="AQ38" i="23"/>
  <c r="S38" i="23"/>
  <c r="AP38" i="23"/>
  <c r="R38" i="23" s="1"/>
  <c r="AO38" i="23"/>
  <c r="Q38" i="23"/>
  <c r="AL38" i="23"/>
  <c r="AK38" i="23"/>
  <c r="AM38" i="23"/>
  <c r="V38" i="23"/>
  <c r="AI38" i="23"/>
  <c r="AH38" i="23"/>
  <c r="AR37" i="23"/>
  <c r="T37" i="23"/>
  <c r="AQ37" i="23"/>
  <c r="S37" i="23" s="1"/>
  <c r="AP37" i="23"/>
  <c r="R37" i="23"/>
  <c r="AO37" i="23"/>
  <c r="Q37" i="23" s="1"/>
  <c r="AL37" i="23"/>
  <c r="AK37" i="23"/>
  <c r="AN37" i="23" s="1"/>
  <c r="W37" i="23" s="1"/>
  <c r="AI37" i="23"/>
  <c r="AH37" i="23"/>
  <c r="AR36" i="23"/>
  <c r="T36" i="23"/>
  <c r="AQ36" i="23"/>
  <c r="S36" i="23" s="1"/>
  <c r="AP36" i="23"/>
  <c r="R36" i="23"/>
  <c r="AO36" i="23"/>
  <c r="Q36" i="23" s="1"/>
  <c r="AL36" i="23"/>
  <c r="AK36" i="23"/>
  <c r="AI36" i="23"/>
  <c r="AH36" i="23"/>
  <c r="AM36" i="23" s="1"/>
  <c r="V36" i="23" s="1"/>
  <c r="AW36" i="23"/>
  <c r="AR35" i="23"/>
  <c r="T35" i="23" s="1"/>
  <c r="AQ35" i="23"/>
  <c r="S35" i="23"/>
  <c r="AP35" i="23"/>
  <c r="R35" i="23" s="1"/>
  <c r="AO35" i="23"/>
  <c r="Q35" i="23"/>
  <c r="AL35" i="23"/>
  <c r="AN35" i="23" s="1"/>
  <c r="AK35" i="23"/>
  <c r="W35" i="23"/>
  <c r="AI35" i="23"/>
  <c r="AJ35" i="23" s="1"/>
  <c r="AH35" i="23"/>
  <c r="AW35" i="23"/>
  <c r="AR34" i="23"/>
  <c r="T34" i="23" s="1"/>
  <c r="AQ34" i="23"/>
  <c r="S34" i="23"/>
  <c r="AP34" i="23"/>
  <c r="R34" i="23" s="1"/>
  <c r="AO34" i="23"/>
  <c r="Q34" i="23"/>
  <c r="AL34" i="23"/>
  <c r="AK34" i="23"/>
  <c r="AM34" i="23"/>
  <c r="V34" i="23"/>
  <c r="AI34" i="23"/>
  <c r="AJ34" i="23" s="1"/>
  <c r="AH34" i="23"/>
  <c r="AW34" i="23"/>
  <c r="AR33" i="23"/>
  <c r="T33" i="23" s="1"/>
  <c r="AQ33" i="23"/>
  <c r="S33" i="23"/>
  <c r="AP33" i="23"/>
  <c r="R33" i="23" s="1"/>
  <c r="AO33" i="23"/>
  <c r="Q33" i="23"/>
  <c r="AL33" i="23"/>
  <c r="AN33" i="23" s="1"/>
  <c r="AK33" i="23"/>
  <c r="W33" i="23"/>
  <c r="AI33" i="23"/>
  <c r="AJ33" i="23" s="1"/>
  <c r="AH33" i="23"/>
  <c r="AW33" i="23"/>
  <c r="AR32" i="23"/>
  <c r="T32" i="23" s="1"/>
  <c r="AQ32" i="23"/>
  <c r="S32" i="23"/>
  <c r="AP32" i="23"/>
  <c r="R32" i="23" s="1"/>
  <c r="AO32" i="23"/>
  <c r="Q32" i="23"/>
  <c r="AL32" i="23"/>
  <c r="AN32" i="23" s="1"/>
  <c r="AK32" i="23"/>
  <c r="W32" i="23"/>
  <c r="AI32" i="23"/>
  <c r="AJ32" i="23" s="1"/>
  <c r="AH32" i="23"/>
  <c r="AW32" i="23"/>
  <c r="AR31" i="23"/>
  <c r="T31" i="23" s="1"/>
  <c r="AQ31" i="23"/>
  <c r="S31" i="23"/>
  <c r="AP31" i="23"/>
  <c r="R31" i="23" s="1"/>
  <c r="AO31" i="23"/>
  <c r="AL31" i="23"/>
  <c r="AK31" i="23"/>
  <c r="AN31" i="23"/>
  <c r="W31" i="23" s="1"/>
  <c r="AI31" i="23"/>
  <c r="AH31" i="23"/>
  <c r="AM31" i="23" s="1"/>
  <c r="V31" i="23" s="1"/>
  <c r="Q31" i="23"/>
  <c r="AW31" i="23"/>
  <c r="AR30" i="23"/>
  <c r="T30" i="23"/>
  <c r="AQ30" i="23"/>
  <c r="S30" i="23"/>
  <c r="AP30" i="23"/>
  <c r="R30" i="23"/>
  <c r="AO30" i="23"/>
  <c r="Q30" i="23"/>
  <c r="AL30" i="23"/>
  <c r="AK30" i="23"/>
  <c r="AN30" i="23"/>
  <c r="W30" i="23"/>
  <c r="AI30" i="23"/>
  <c r="AJ30" i="23" s="1"/>
  <c r="AH30" i="23"/>
  <c r="AM30" i="23" s="1"/>
  <c r="V30" i="23" s="1"/>
  <c r="AX29" i="23"/>
  <c r="AY29" i="23"/>
  <c r="AW30" i="23"/>
  <c r="AR29" i="23"/>
  <c r="T29" i="23"/>
  <c r="AQ29" i="23"/>
  <c r="S29" i="23" s="1"/>
  <c r="AP29" i="23"/>
  <c r="R29" i="23" s="1"/>
  <c r="AO29" i="23"/>
  <c r="Q29" i="23"/>
  <c r="AL29" i="23"/>
  <c r="AK29" i="23"/>
  <c r="AI29" i="23"/>
  <c r="AH29" i="23"/>
  <c r="AX28" i="23"/>
  <c r="AY28" i="23"/>
  <c r="AW29" i="23"/>
  <c r="AR28" i="23"/>
  <c r="T28" i="23" s="1"/>
  <c r="AQ28" i="23"/>
  <c r="AP28" i="23"/>
  <c r="R28" i="23" s="1"/>
  <c r="AO28" i="23"/>
  <c r="Q28" i="23"/>
  <c r="AL28" i="23"/>
  <c r="AN28" i="23" s="1"/>
  <c r="W28" i="23" s="1"/>
  <c r="AK28" i="23"/>
  <c r="AI28" i="23"/>
  <c r="AH28" i="23"/>
  <c r="S28" i="23"/>
  <c r="AX27" i="23"/>
  <c r="AY27" i="23" s="1"/>
  <c r="AW28" i="23"/>
  <c r="AR27" i="23"/>
  <c r="T27" i="23"/>
  <c r="AQ27" i="23"/>
  <c r="S27" i="23"/>
  <c r="AP27" i="23"/>
  <c r="R27" i="23"/>
  <c r="AO27" i="23"/>
  <c r="Q27" i="23"/>
  <c r="AL27" i="23"/>
  <c r="AK27" i="23"/>
  <c r="AN27" i="23" s="1"/>
  <c r="W27" i="23" s="1"/>
  <c r="AI27" i="23"/>
  <c r="AH27" i="23"/>
  <c r="AX26" i="23"/>
  <c r="AY26" i="23"/>
  <c r="AW27" i="23"/>
  <c r="AR26" i="23"/>
  <c r="T26" i="23" s="1"/>
  <c r="AQ26" i="23"/>
  <c r="S26" i="23"/>
  <c r="AP26" i="23"/>
  <c r="R26" i="23" s="1"/>
  <c r="AO26" i="23"/>
  <c r="Q26" i="23"/>
  <c r="AL26" i="23"/>
  <c r="AN26" i="23" s="1"/>
  <c r="W26" i="23" s="1"/>
  <c r="AK26" i="23"/>
  <c r="AI26" i="23"/>
  <c r="AH26" i="23"/>
  <c r="AM26" i="23"/>
  <c r="V26" i="23"/>
  <c r="AX25" i="23"/>
  <c r="AY25" i="23" s="1"/>
  <c r="AW26" i="23"/>
  <c r="AR25" i="23"/>
  <c r="T25" i="23" s="1"/>
  <c r="AQ25" i="23"/>
  <c r="S25" i="23"/>
  <c r="AP25" i="23"/>
  <c r="R25" i="23" s="1"/>
  <c r="AO25" i="23"/>
  <c r="Q25" i="23"/>
  <c r="AL25" i="23"/>
  <c r="AK25" i="23"/>
  <c r="AI25" i="23"/>
  <c r="AJ25" i="23" s="1"/>
  <c r="AH25" i="23"/>
  <c r="AX24" i="23"/>
  <c r="AY24" i="23" s="1"/>
  <c r="AR24" i="23"/>
  <c r="T24" i="23"/>
  <c r="AQ24" i="23"/>
  <c r="S24" i="23" s="1"/>
  <c r="AP24" i="23"/>
  <c r="R24" i="23"/>
  <c r="AO24" i="23"/>
  <c r="Q24" i="23" s="1"/>
  <c r="AL24" i="23"/>
  <c r="AK24" i="23"/>
  <c r="AN24" i="23"/>
  <c r="W24" i="23" s="1"/>
  <c r="AI24" i="23"/>
  <c r="AH24" i="23"/>
  <c r="AM24" i="23"/>
  <c r="V24" i="23" s="1"/>
  <c r="AX23" i="23"/>
  <c r="AY23" i="23"/>
  <c r="AW24" i="23"/>
  <c r="AR23" i="23"/>
  <c r="T23" i="23"/>
  <c r="AQ23" i="23"/>
  <c r="S23" i="23" s="1"/>
  <c r="AP23" i="23"/>
  <c r="R23" i="23"/>
  <c r="AO23" i="23"/>
  <c r="Q23" i="23" s="1"/>
  <c r="AL23" i="23"/>
  <c r="AK23" i="23"/>
  <c r="AN23" i="23"/>
  <c r="W23" i="23" s="1"/>
  <c r="AI23" i="23"/>
  <c r="AH23" i="23"/>
  <c r="AJ23" i="23" s="1"/>
  <c r="AX22" i="23"/>
  <c r="AY22" i="23" s="1"/>
  <c r="AR22" i="23"/>
  <c r="T22" i="23"/>
  <c r="AQ22" i="23"/>
  <c r="S22" i="23" s="1"/>
  <c r="AP22" i="23"/>
  <c r="R22" i="23"/>
  <c r="AO22" i="23"/>
  <c r="Q22" i="23" s="1"/>
  <c r="AL22" i="23"/>
  <c r="AK22" i="23"/>
  <c r="AI22" i="23"/>
  <c r="AH22" i="23"/>
  <c r="AX21" i="23"/>
  <c r="AY21" i="23"/>
  <c r="AW22" i="23"/>
  <c r="AR21" i="23"/>
  <c r="T21" i="23"/>
  <c r="AQ21" i="23"/>
  <c r="S21" i="23" s="1"/>
  <c r="AP21" i="23"/>
  <c r="R21" i="23"/>
  <c r="AO21" i="23"/>
  <c r="Q21" i="23" s="1"/>
  <c r="AL21" i="23"/>
  <c r="AK21" i="23"/>
  <c r="AI21" i="23"/>
  <c r="AH21" i="23"/>
  <c r="AX20" i="23"/>
  <c r="AY20" i="23"/>
  <c r="AW21" i="23"/>
  <c r="AR20" i="23"/>
  <c r="T20" i="23"/>
  <c r="AQ20" i="23"/>
  <c r="S20" i="23" s="1"/>
  <c r="AP20" i="23"/>
  <c r="R20" i="23"/>
  <c r="AO20" i="23"/>
  <c r="Q20" i="23" s="1"/>
  <c r="AL20" i="23"/>
  <c r="W20" i="23"/>
  <c r="AK20" i="23"/>
  <c r="AN20" i="23" s="1"/>
  <c r="AI20" i="23"/>
  <c r="AH20" i="23"/>
  <c r="AM20" i="23"/>
  <c r="V20" i="23" s="1"/>
  <c r="AX19" i="23"/>
  <c r="AY19" i="23"/>
  <c r="AW20" i="23"/>
  <c r="AR19" i="23"/>
  <c r="T19" i="23" s="1"/>
  <c r="AQ19" i="23"/>
  <c r="S19" i="23"/>
  <c r="AP19" i="23"/>
  <c r="R19" i="23" s="1"/>
  <c r="AO19" i="23"/>
  <c r="Q19" i="23"/>
  <c r="AL19" i="23"/>
  <c r="AN19" i="23" s="1"/>
  <c r="AK19" i="23"/>
  <c r="W19" i="23"/>
  <c r="AI19" i="23"/>
  <c r="AH19" i="23"/>
  <c r="AX18" i="23"/>
  <c r="AW19" i="23"/>
  <c r="AR18" i="23"/>
  <c r="T18" i="23" s="1"/>
  <c r="AQ18" i="23"/>
  <c r="S18" i="23"/>
  <c r="AP18" i="23"/>
  <c r="R18" i="23" s="1"/>
  <c r="AO18" i="23"/>
  <c r="Q18" i="23"/>
  <c r="AL18" i="23"/>
  <c r="AN18" i="23" s="1"/>
  <c r="W18" i="23" s="1"/>
  <c r="AK18" i="23"/>
  <c r="AI18" i="23"/>
  <c r="AJ18" i="23" s="1"/>
  <c r="AH18" i="23"/>
  <c r="AX17" i="23"/>
  <c r="AY17" i="23" s="1"/>
  <c r="AW18" i="23"/>
  <c r="AR17" i="23"/>
  <c r="T17" i="23"/>
  <c r="AQ17" i="23"/>
  <c r="S17" i="23" s="1"/>
  <c r="AP17" i="23"/>
  <c r="R17" i="23"/>
  <c r="AO17" i="23"/>
  <c r="Q17" i="23" s="1"/>
  <c r="AL17" i="23"/>
  <c r="AK17" i="23"/>
  <c r="AN17" i="23"/>
  <c r="W17" i="23" s="1"/>
  <c r="AI17" i="23"/>
  <c r="AH17" i="23"/>
  <c r="AX16" i="23"/>
  <c r="AW17" i="23"/>
  <c r="AR16" i="23"/>
  <c r="T16" i="23"/>
  <c r="AQ16" i="23"/>
  <c r="S16" i="23" s="1"/>
  <c r="AP16" i="23"/>
  <c r="R16" i="23"/>
  <c r="AO16" i="23"/>
  <c r="Q16" i="23" s="1"/>
  <c r="AL16" i="23"/>
  <c r="AK16" i="23"/>
  <c r="AN16" i="23" s="1"/>
  <c r="W16" i="23" s="1"/>
  <c r="AI16" i="23"/>
  <c r="AH16" i="23"/>
  <c r="AX15" i="23"/>
  <c r="AY15" i="23"/>
  <c r="AW16" i="23"/>
  <c r="AR15" i="23"/>
  <c r="T15" i="23" s="1"/>
  <c r="AQ15" i="23"/>
  <c r="S15" i="23"/>
  <c r="AP15" i="23"/>
  <c r="R15" i="23" s="1"/>
  <c r="AO15" i="23"/>
  <c r="Q15" i="23"/>
  <c r="AL15" i="23"/>
  <c r="AN15" i="23" s="1"/>
  <c r="W15" i="23" s="1"/>
  <c r="AK15" i="23"/>
  <c r="AI15" i="23"/>
  <c r="AH15" i="23"/>
  <c r="AM15" i="23"/>
  <c r="V15" i="23"/>
  <c r="AX14" i="23"/>
  <c r="AW15" i="23"/>
  <c r="AR14" i="23"/>
  <c r="T14" i="23" s="1"/>
  <c r="AQ14" i="23"/>
  <c r="S14" i="23"/>
  <c r="AP14" i="23"/>
  <c r="R14" i="23" s="1"/>
  <c r="AO14" i="23"/>
  <c r="Q14" i="23"/>
  <c r="AL14" i="23"/>
  <c r="AK14" i="23"/>
  <c r="AI14" i="23"/>
  <c r="AH14" i="23"/>
  <c r="AJ14" i="23" s="1"/>
  <c r="AX13" i="23"/>
  <c r="AW14" i="23"/>
  <c r="AR13" i="23"/>
  <c r="T13" i="23"/>
  <c r="AQ13" i="23"/>
  <c r="S13" i="23" s="1"/>
  <c r="M49" i="23" s="1"/>
  <c r="AP13" i="23"/>
  <c r="R13" i="23"/>
  <c r="AO13" i="23"/>
  <c r="Q13" i="23" s="1"/>
  <c r="AL13" i="23"/>
  <c r="AK13" i="23"/>
  <c r="AN13" i="23"/>
  <c r="W13" i="23" s="1"/>
  <c r="AI13" i="23"/>
  <c r="AH13" i="23"/>
  <c r="AJ13" i="23"/>
  <c r="AX12" i="23"/>
  <c r="AW13" i="23"/>
  <c r="AR12" i="23"/>
  <c r="T12" i="23" s="1"/>
  <c r="R50" i="23" s="1"/>
  <c r="AQ12" i="23"/>
  <c r="S12" i="23"/>
  <c r="AP12" i="23"/>
  <c r="R12" i="23" s="1"/>
  <c r="AO12" i="23"/>
  <c r="Q12" i="23"/>
  <c r="AL12" i="23"/>
  <c r="AK12" i="23"/>
  <c r="AI12" i="23"/>
  <c r="AH12" i="23"/>
  <c r="AM12" i="23" s="1"/>
  <c r="V12" i="23" s="1"/>
  <c r="AX11" i="23"/>
  <c r="AW12" i="23"/>
  <c r="AR11" i="23"/>
  <c r="T11" i="23"/>
  <c r="AQ11" i="23"/>
  <c r="S11" i="23" s="1"/>
  <c r="AP11" i="23"/>
  <c r="R11" i="23"/>
  <c r="M48" i="23" s="1"/>
  <c r="AO11" i="23"/>
  <c r="Q11" i="23" s="1"/>
  <c r="AL11" i="23"/>
  <c r="AK11" i="23"/>
  <c r="AN11" i="23"/>
  <c r="W11" i="23" s="1"/>
  <c r="AI11" i="23"/>
  <c r="AH11" i="23"/>
  <c r="AX10" i="23"/>
  <c r="AW10" i="23"/>
  <c r="AR10" i="23"/>
  <c r="T10" i="23"/>
  <c r="AQ10" i="23"/>
  <c r="S10" i="23" s="1"/>
  <c r="AP10" i="23"/>
  <c r="R10" i="23"/>
  <c r="AO10" i="23"/>
  <c r="Q10" i="23" s="1"/>
  <c r="AL10" i="23"/>
  <c r="AN10" i="23"/>
  <c r="W10" i="23" s="1"/>
  <c r="AK10" i="23"/>
  <c r="AI10" i="23"/>
  <c r="AJ10" i="23"/>
  <c r="AH10" i="23"/>
  <c r="AX9" i="23"/>
  <c r="AW9" i="23"/>
  <c r="AR9" i="23"/>
  <c r="T9" i="23" s="1"/>
  <c r="AQ9" i="23"/>
  <c r="S9" i="23"/>
  <c r="AP9" i="23"/>
  <c r="R9" i="23" s="1"/>
  <c r="AO9" i="23"/>
  <c r="Q9" i="23" s="1"/>
  <c r="AL9" i="23"/>
  <c r="AK9" i="23"/>
  <c r="AN9" i="23"/>
  <c r="W9" i="23" s="1"/>
  <c r="AI9" i="23"/>
  <c r="AH9" i="23"/>
  <c r="AM9" i="23" s="1"/>
  <c r="V9" i="23" s="1"/>
  <c r="AW8" i="23"/>
  <c r="AR8" i="23"/>
  <c r="T8" i="23" s="1"/>
  <c r="AQ8" i="23"/>
  <c r="S8" i="23"/>
  <c r="AP8" i="23"/>
  <c r="R8" i="23" s="1"/>
  <c r="AO8" i="23"/>
  <c r="Q8" i="23"/>
  <c r="AL8" i="23"/>
  <c r="AN8" i="23" s="1"/>
  <c r="AK8" i="23"/>
  <c r="W8" i="23"/>
  <c r="AI8" i="23"/>
  <c r="AH8" i="23"/>
  <c r="AM8" i="23" s="1"/>
  <c r="V8" i="23" s="1"/>
  <c r="D3" i="23"/>
  <c r="AB59" i="22"/>
  <c r="M53" i="22"/>
  <c r="S53" i="22"/>
  <c r="AK48" i="22"/>
  <c r="AW48" i="22"/>
  <c r="AW47" i="22"/>
  <c r="AM46" i="22"/>
  <c r="AW46" i="22"/>
  <c r="AW45" i="22"/>
  <c r="AQ44" i="22"/>
  <c r="AM44" i="22"/>
  <c r="AW44" i="22"/>
  <c r="AW43" i="22"/>
  <c r="AW42" i="22"/>
  <c r="AW41" i="22"/>
  <c r="AW40" i="22"/>
  <c r="AR38" i="22"/>
  <c r="T38" i="22"/>
  <c r="AQ38" i="22"/>
  <c r="S38" i="22" s="1"/>
  <c r="AP38" i="22"/>
  <c r="R38" i="22"/>
  <c r="AO38" i="22"/>
  <c r="Q38" i="22" s="1"/>
  <c r="AL38" i="22"/>
  <c r="AK38" i="22"/>
  <c r="AN38" i="22" s="1"/>
  <c r="W38" i="22" s="1"/>
  <c r="AI38" i="22"/>
  <c r="AH38" i="22"/>
  <c r="AJ38" i="22" s="1"/>
  <c r="AR37" i="22"/>
  <c r="T37" i="22"/>
  <c r="AQ37" i="22"/>
  <c r="S37" i="22" s="1"/>
  <c r="AP37" i="22"/>
  <c r="R37" i="22"/>
  <c r="AO37" i="22"/>
  <c r="Q37" i="22" s="1"/>
  <c r="AL37" i="22"/>
  <c r="AK37" i="22"/>
  <c r="AN37" i="22"/>
  <c r="W37" i="22" s="1"/>
  <c r="AI37" i="22"/>
  <c r="AH37" i="22"/>
  <c r="AJ37" i="22"/>
  <c r="AR36" i="22"/>
  <c r="AQ36" i="22"/>
  <c r="S36" i="22"/>
  <c r="AP36" i="22"/>
  <c r="R36" i="22" s="1"/>
  <c r="AO36" i="22"/>
  <c r="Q36" i="22"/>
  <c r="AL36" i="22"/>
  <c r="AK36" i="22"/>
  <c r="AI36" i="22"/>
  <c r="AH36" i="22"/>
  <c r="AJ36" i="22"/>
  <c r="T36" i="22"/>
  <c r="AW36" i="22"/>
  <c r="AR35" i="22"/>
  <c r="T35" i="22"/>
  <c r="AQ35" i="22"/>
  <c r="S35" i="22" s="1"/>
  <c r="AP35" i="22"/>
  <c r="R35" i="22"/>
  <c r="AO35" i="22"/>
  <c r="Q35" i="22" s="1"/>
  <c r="AL35" i="22"/>
  <c r="AN35" i="22"/>
  <c r="W35" i="22"/>
  <c r="AK35" i="22"/>
  <c r="AI35" i="22"/>
  <c r="AH35" i="22"/>
  <c r="AM35" i="22"/>
  <c r="V35" i="22" s="1"/>
  <c r="AW35" i="22"/>
  <c r="AR34" i="22"/>
  <c r="T34" i="22" s="1"/>
  <c r="AQ34" i="22"/>
  <c r="S34" i="22"/>
  <c r="AP34" i="22"/>
  <c r="R34" i="22" s="1"/>
  <c r="AO34" i="22"/>
  <c r="Q34" i="22"/>
  <c r="AL34" i="22"/>
  <c r="AK34" i="22"/>
  <c r="AI34" i="22"/>
  <c r="AH34" i="22"/>
  <c r="AM34" i="22" s="1"/>
  <c r="V34" i="22" s="1"/>
  <c r="AW34" i="22"/>
  <c r="AR33" i="22"/>
  <c r="T33" i="22" s="1"/>
  <c r="AQ33" i="22"/>
  <c r="S33" i="22"/>
  <c r="AP33" i="22"/>
  <c r="R33" i="22" s="1"/>
  <c r="AO33" i="22"/>
  <c r="Q33" i="22"/>
  <c r="AL33" i="22"/>
  <c r="AK33" i="22"/>
  <c r="AI33" i="22"/>
  <c r="AH33" i="22"/>
  <c r="AW33" i="22"/>
  <c r="AR32" i="22"/>
  <c r="T32" i="22" s="1"/>
  <c r="AQ32" i="22"/>
  <c r="S32" i="22"/>
  <c r="AP32" i="22"/>
  <c r="R32" i="22" s="1"/>
  <c r="AO32" i="22"/>
  <c r="Q32" i="22"/>
  <c r="AL32" i="22"/>
  <c r="AN32" i="22" s="1"/>
  <c r="W32" i="22" s="1"/>
  <c r="AK32" i="22"/>
  <c r="AI32" i="22"/>
  <c r="AH32" i="22"/>
  <c r="AM32" i="22" s="1"/>
  <c r="V32" i="22" s="1"/>
  <c r="AW32" i="22"/>
  <c r="AR31" i="22"/>
  <c r="T31" i="22" s="1"/>
  <c r="AQ31" i="22"/>
  <c r="S31" i="22"/>
  <c r="AP31" i="22"/>
  <c r="R31" i="22" s="1"/>
  <c r="AO31" i="22"/>
  <c r="Q31" i="22"/>
  <c r="AL31" i="22"/>
  <c r="AN31" i="22" s="1"/>
  <c r="AK31" i="22"/>
  <c r="W31" i="22"/>
  <c r="AI31" i="22"/>
  <c r="AH31" i="22"/>
  <c r="AM31" i="22"/>
  <c r="V31" i="22"/>
  <c r="AW31" i="22"/>
  <c r="AR30" i="22"/>
  <c r="T30" i="22"/>
  <c r="AQ30" i="22"/>
  <c r="S30" i="22"/>
  <c r="AP30" i="22"/>
  <c r="R30" i="22"/>
  <c r="AO30" i="22"/>
  <c r="Q30" i="22"/>
  <c r="AL30" i="22"/>
  <c r="AK30" i="22"/>
  <c r="AN30" i="22"/>
  <c r="W30" i="22"/>
  <c r="AI30" i="22"/>
  <c r="AH30" i="22"/>
  <c r="AJ30" i="22"/>
  <c r="AX29" i="22"/>
  <c r="AY29" i="22" s="1"/>
  <c r="AW30" i="22"/>
  <c r="AR29" i="22"/>
  <c r="T29" i="22"/>
  <c r="AQ29" i="22"/>
  <c r="AP29" i="22"/>
  <c r="R29" i="22"/>
  <c r="AO29" i="22"/>
  <c r="Q29" i="22" s="1"/>
  <c r="AL29" i="22"/>
  <c r="AK29" i="22"/>
  <c r="AN29" i="22" s="1"/>
  <c r="W29" i="22" s="1"/>
  <c r="AI29" i="22"/>
  <c r="AH29" i="22"/>
  <c r="AM29" i="22" s="1"/>
  <c r="V29" i="22" s="1"/>
  <c r="S29" i="22"/>
  <c r="AX28" i="22"/>
  <c r="AY28" i="22"/>
  <c r="AW29" i="22"/>
  <c r="AR28" i="22"/>
  <c r="T28" i="22"/>
  <c r="AQ28" i="22"/>
  <c r="S28" i="22" s="1"/>
  <c r="AP28" i="22"/>
  <c r="R28" i="22"/>
  <c r="AO28" i="22"/>
  <c r="Q28" i="22" s="1"/>
  <c r="AL28" i="22"/>
  <c r="AK28" i="22"/>
  <c r="AI28" i="22"/>
  <c r="AJ28" i="22" s="1"/>
  <c r="AH28" i="22"/>
  <c r="AX27" i="22"/>
  <c r="AY27" i="22" s="1"/>
  <c r="AW28" i="22"/>
  <c r="AR27" i="22"/>
  <c r="T27" i="22"/>
  <c r="AQ27" i="22"/>
  <c r="S27" i="22" s="1"/>
  <c r="AP27" i="22"/>
  <c r="R27" i="22"/>
  <c r="AO27" i="22"/>
  <c r="Q27" i="22" s="1"/>
  <c r="AL27" i="22"/>
  <c r="AK27" i="22"/>
  <c r="AN27" i="22"/>
  <c r="W27" i="22" s="1"/>
  <c r="AI27" i="22"/>
  <c r="AH27" i="22"/>
  <c r="AM27" i="22" s="1"/>
  <c r="V27" i="22" s="1"/>
  <c r="AX26" i="22"/>
  <c r="AY26" i="22"/>
  <c r="AW27" i="22"/>
  <c r="AR26" i="22"/>
  <c r="T26" i="22"/>
  <c r="AQ26" i="22"/>
  <c r="S26" i="22" s="1"/>
  <c r="AP26" i="22"/>
  <c r="R26" i="22"/>
  <c r="AO26" i="22"/>
  <c r="Q26" i="22" s="1"/>
  <c r="AL26" i="22"/>
  <c r="AK26" i="22"/>
  <c r="AN26" i="22" s="1"/>
  <c r="W26" i="22" s="1"/>
  <c r="AI26" i="22"/>
  <c r="AH26" i="22"/>
  <c r="AJ26" i="22"/>
  <c r="AX25" i="22"/>
  <c r="AY25" i="22" s="1"/>
  <c r="AW26" i="22"/>
  <c r="AR25" i="22"/>
  <c r="T25" i="22"/>
  <c r="AQ25" i="22"/>
  <c r="S25" i="22"/>
  <c r="AP25" i="22"/>
  <c r="R25" i="22"/>
  <c r="AO25" i="22"/>
  <c r="Q25" i="22"/>
  <c r="AL25" i="22"/>
  <c r="AK25" i="22"/>
  <c r="AN25" i="22" s="1"/>
  <c r="W25" i="22" s="1"/>
  <c r="AI25" i="22"/>
  <c r="AJ25" i="22" s="1"/>
  <c r="AH25" i="22"/>
  <c r="AX24" i="22"/>
  <c r="AY24" i="22"/>
  <c r="AR24" i="22"/>
  <c r="T24" i="22" s="1"/>
  <c r="AQ24" i="22"/>
  <c r="S24" i="22"/>
  <c r="M49" i="22" s="1"/>
  <c r="AP24" i="22"/>
  <c r="R24" i="22" s="1"/>
  <c r="AO24" i="22"/>
  <c r="Q24" i="22"/>
  <c r="AL24" i="22"/>
  <c r="AN24" i="22" s="1"/>
  <c r="AK24" i="22"/>
  <c r="AI24" i="22"/>
  <c r="AH24" i="22"/>
  <c r="AM24" i="22"/>
  <c r="V24" i="22" s="1"/>
  <c r="AX23" i="22"/>
  <c r="AY23" i="22"/>
  <c r="AW24" i="22"/>
  <c r="AR23" i="22"/>
  <c r="T23" i="22"/>
  <c r="AQ23" i="22"/>
  <c r="S23" i="22"/>
  <c r="AP23" i="22"/>
  <c r="R23" i="22"/>
  <c r="AO23" i="22"/>
  <c r="Q23" i="22"/>
  <c r="AL23" i="22"/>
  <c r="W23" i="22"/>
  <c r="AK23" i="22"/>
  <c r="AN23" i="22" s="1"/>
  <c r="AI23" i="22"/>
  <c r="AH23" i="22"/>
  <c r="AM23" i="22"/>
  <c r="V23" i="22" s="1"/>
  <c r="AX22" i="22"/>
  <c r="AY22" i="22"/>
  <c r="AR22" i="22"/>
  <c r="T22" i="22" s="1"/>
  <c r="AQ22" i="22"/>
  <c r="S22" i="22"/>
  <c r="AP22" i="22"/>
  <c r="R22" i="22" s="1"/>
  <c r="AO22" i="22"/>
  <c r="Q22" i="22"/>
  <c r="AL22" i="22"/>
  <c r="AK22" i="22"/>
  <c r="AI22" i="22"/>
  <c r="AH22" i="22"/>
  <c r="AM22" i="22"/>
  <c r="V22" i="22" s="1"/>
  <c r="AX21" i="22"/>
  <c r="AY21" i="22"/>
  <c r="AW22" i="22"/>
  <c r="AR21" i="22"/>
  <c r="T21" i="22" s="1"/>
  <c r="AQ21" i="22"/>
  <c r="S21" i="22"/>
  <c r="AP21" i="22"/>
  <c r="R21" i="22" s="1"/>
  <c r="AO21" i="22"/>
  <c r="Q21" i="22"/>
  <c r="AL21" i="22"/>
  <c r="AK21" i="22"/>
  <c r="AI21" i="22"/>
  <c r="AH21" i="22"/>
  <c r="AX20" i="22"/>
  <c r="AY20" i="22"/>
  <c r="AW21" i="22"/>
  <c r="AR20" i="22"/>
  <c r="T20" i="22"/>
  <c r="AQ20" i="22"/>
  <c r="S20" i="22" s="1"/>
  <c r="AP20" i="22"/>
  <c r="R20" i="22"/>
  <c r="AO20" i="22"/>
  <c r="Q20" i="22" s="1"/>
  <c r="AL20" i="22"/>
  <c r="AK20" i="22"/>
  <c r="AN20" i="22"/>
  <c r="W20" i="22" s="1"/>
  <c r="AI20" i="22"/>
  <c r="AH20" i="22"/>
  <c r="AX19" i="22"/>
  <c r="AY19" i="22"/>
  <c r="AW20" i="22"/>
  <c r="AR19" i="22"/>
  <c r="T19" i="22"/>
  <c r="AQ19" i="22"/>
  <c r="S19" i="22" s="1"/>
  <c r="AP19" i="22"/>
  <c r="R19" i="22"/>
  <c r="AO19" i="22"/>
  <c r="Q19" i="22" s="1"/>
  <c r="AL19" i="22"/>
  <c r="AK19" i="22"/>
  <c r="AN19" i="22"/>
  <c r="W19" i="22" s="1"/>
  <c r="AI19" i="22"/>
  <c r="AH19" i="22"/>
  <c r="AJ19" i="22"/>
  <c r="AX18" i="22"/>
  <c r="AW19" i="22"/>
  <c r="AR18" i="22"/>
  <c r="T18" i="22"/>
  <c r="AQ18" i="22"/>
  <c r="S18" i="22" s="1"/>
  <c r="AP18" i="22"/>
  <c r="R18" i="22"/>
  <c r="AO18" i="22"/>
  <c r="Q18" i="22" s="1"/>
  <c r="AL18" i="22"/>
  <c r="W18" i="22"/>
  <c r="AK18" i="22"/>
  <c r="AN18" i="22" s="1"/>
  <c r="AI18" i="22"/>
  <c r="AH18" i="22"/>
  <c r="AX17" i="22"/>
  <c r="AY17" i="22" s="1"/>
  <c r="AW18" i="22"/>
  <c r="AR17" i="22"/>
  <c r="T17" i="22"/>
  <c r="AQ17" i="22"/>
  <c r="S17" i="22" s="1"/>
  <c r="AP17" i="22"/>
  <c r="R17" i="22"/>
  <c r="AO17" i="22"/>
  <c r="Q17" i="22" s="1"/>
  <c r="AL17" i="22"/>
  <c r="AK17" i="22"/>
  <c r="AN17" i="22"/>
  <c r="W17" i="22" s="1"/>
  <c r="AI17" i="22"/>
  <c r="AH17" i="22"/>
  <c r="AX16" i="22"/>
  <c r="AW17" i="22"/>
  <c r="AR16" i="22"/>
  <c r="T16" i="22" s="1"/>
  <c r="AQ16" i="22"/>
  <c r="S16" i="22"/>
  <c r="AP16" i="22"/>
  <c r="R16" i="22" s="1"/>
  <c r="M48" i="22" s="1"/>
  <c r="AO16" i="22"/>
  <c r="Q16" i="22"/>
  <c r="AL16" i="22"/>
  <c r="AK16" i="22"/>
  <c r="AI16" i="22"/>
  <c r="AH16" i="22"/>
  <c r="AM16" i="22"/>
  <c r="V16" i="22" s="1"/>
  <c r="AX15" i="22"/>
  <c r="AY15" i="22"/>
  <c r="AW16" i="22"/>
  <c r="AR15" i="22"/>
  <c r="T15" i="22" s="1"/>
  <c r="AQ15" i="22"/>
  <c r="S15" i="22"/>
  <c r="AP15" i="22"/>
  <c r="R15" i="22" s="1"/>
  <c r="AO15" i="22"/>
  <c r="Q15" i="22"/>
  <c r="R47" i="22" s="1"/>
  <c r="AL15" i="22"/>
  <c r="AK15" i="22"/>
  <c r="AI15" i="22"/>
  <c r="AJ15" i="22"/>
  <c r="AH15" i="22"/>
  <c r="AX14" i="22"/>
  <c r="AW15" i="22"/>
  <c r="AR14" i="22"/>
  <c r="T14" i="22" s="1"/>
  <c r="AQ14" i="22"/>
  <c r="S14" i="22"/>
  <c r="AP14" i="22"/>
  <c r="R14" i="22" s="1"/>
  <c r="AO14" i="22"/>
  <c r="Q14" i="22"/>
  <c r="AL14" i="22"/>
  <c r="AK14" i="22"/>
  <c r="AI14" i="22"/>
  <c r="AH14" i="22"/>
  <c r="AJ14" i="22" s="1"/>
  <c r="AX13" i="22"/>
  <c r="AY13" i="22" s="1"/>
  <c r="AW14" i="22"/>
  <c r="AR13" i="22"/>
  <c r="T13" i="22" s="1"/>
  <c r="AQ13" i="22"/>
  <c r="S13" i="22"/>
  <c r="AP13" i="22"/>
  <c r="R13" i="22" s="1"/>
  <c r="AO13" i="22"/>
  <c r="Q13" i="22"/>
  <c r="AL13" i="22"/>
  <c r="AN13" i="22" s="1"/>
  <c r="W13" i="22" s="1"/>
  <c r="AK13" i="22"/>
  <c r="AM13" i="22"/>
  <c r="V13" i="22" s="1"/>
  <c r="AI13" i="22"/>
  <c r="AH13" i="22"/>
  <c r="AX12" i="22"/>
  <c r="AW13" i="22"/>
  <c r="AR12" i="22"/>
  <c r="T12" i="22" s="1"/>
  <c r="AQ12" i="22"/>
  <c r="S12" i="22"/>
  <c r="AP12" i="22"/>
  <c r="R12" i="22" s="1"/>
  <c r="AO12" i="22"/>
  <c r="Q12" i="22"/>
  <c r="AL12" i="22"/>
  <c r="AK12" i="22"/>
  <c r="AI12" i="22"/>
  <c r="AH12" i="22"/>
  <c r="AM12" i="22" s="1"/>
  <c r="V12" i="22" s="1"/>
  <c r="AX11" i="22"/>
  <c r="AW12" i="22"/>
  <c r="AR11" i="22"/>
  <c r="T11" i="22"/>
  <c r="AQ11" i="22"/>
  <c r="S11" i="22"/>
  <c r="AP11" i="22"/>
  <c r="R11" i="22"/>
  <c r="AO11" i="22"/>
  <c r="Q11" i="22"/>
  <c r="AL11" i="22"/>
  <c r="AK11" i="22"/>
  <c r="AN11" i="22" s="1"/>
  <c r="W11" i="22" s="1"/>
  <c r="AI11" i="22"/>
  <c r="AH11" i="22"/>
  <c r="AX10" i="22"/>
  <c r="AW10" i="22"/>
  <c r="AR10" i="22"/>
  <c r="T10" i="22"/>
  <c r="AQ10" i="22"/>
  <c r="AP10" i="22"/>
  <c r="R10" i="22"/>
  <c r="AO10" i="22"/>
  <c r="Q10" i="22" s="1"/>
  <c r="AL10" i="22"/>
  <c r="AK10" i="22"/>
  <c r="AN10" i="22"/>
  <c r="W10" i="22" s="1"/>
  <c r="AI10" i="22"/>
  <c r="AH10" i="22"/>
  <c r="AJ10" i="22" s="1"/>
  <c r="S10" i="22"/>
  <c r="AX9" i="22"/>
  <c r="AW9" i="22"/>
  <c r="AR9" i="22"/>
  <c r="T9" i="22"/>
  <c r="AQ9" i="22"/>
  <c r="S9" i="22" s="1"/>
  <c r="AP9" i="22"/>
  <c r="R9" i="22"/>
  <c r="AO9" i="22"/>
  <c r="Q9" i="22" s="1"/>
  <c r="AL9" i="22"/>
  <c r="AK9" i="22"/>
  <c r="AI9" i="22"/>
  <c r="AH9" i="22"/>
  <c r="AW8" i="22"/>
  <c r="AR8" i="22"/>
  <c r="T8" i="22" s="1"/>
  <c r="AQ8" i="22"/>
  <c r="S8" i="22"/>
  <c r="AP8" i="22"/>
  <c r="R8" i="22" s="1"/>
  <c r="AO8" i="22"/>
  <c r="Q8" i="22"/>
  <c r="AL8" i="22"/>
  <c r="AK8" i="22"/>
  <c r="AI8" i="22"/>
  <c r="AH8" i="22"/>
  <c r="D3" i="22"/>
  <c r="AB58" i="21"/>
  <c r="M52" i="21"/>
  <c r="S52" i="21" s="1"/>
  <c r="AK47" i="21"/>
  <c r="AW47" i="21"/>
  <c r="AW46" i="21"/>
  <c r="AM45" i="21"/>
  <c r="AW45" i="21"/>
  <c r="AW44" i="21"/>
  <c r="AQ43" i="21"/>
  <c r="AM43" i="21"/>
  <c r="AW43" i="21"/>
  <c r="AW42" i="21"/>
  <c r="AW41" i="21"/>
  <c r="AW40" i="21"/>
  <c r="AW39" i="21"/>
  <c r="AR37" i="21"/>
  <c r="T37" i="21" s="1"/>
  <c r="AQ37" i="21"/>
  <c r="S37" i="21"/>
  <c r="AP37" i="21"/>
  <c r="R37" i="21" s="1"/>
  <c r="AO37" i="21"/>
  <c r="Q37" i="21"/>
  <c r="AL37" i="21"/>
  <c r="AK37" i="21"/>
  <c r="AI37" i="21"/>
  <c r="AH37" i="21"/>
  <c r="AM37" i="21" s="1"/>
  <c r="V37" i="21" s="1"/>
  <c r="AR36" i="21"/>
  <c r="T36" i="21"/>
  <c r="AQ36" i="21"/>
  <c r="S36" i="21" s="1"/>
  <c r="AP36" i="21"/>
  <c r="R36" i="21"/>
  <c r="AO36" i="21"/>
  <c r="Q36" i="21" s="1"/>
  <c r="AL36" i="21"/>
  <c r="AK36" i="21"/>
  <c r="AI36" i="21"/>
  <c r="AH36" i="21"/>
  <c r="AW36" i="21"/>
  <c r="AR35" i="21"/>
  <c r="T35" i="21" s="1"/>
  <c r="AQ35" i="21"/>
  <c r="S35" i="21" s="1"/>
  <c r="AP35" i="21"/>
  <c r="R35" i="21" s="1"/>
  <c r="AO35" i="21"/>
  <c r="Q35" i="21" s="1"/>
  <c r="AL35" i="21"/>
  <c r="AK35" i="21"/>
  <c r="AI35" i="21"/>
  <c r="AH35" i="21"/>
  <c r="AW35" i="21"/>
  <c r="AR34" i="21"/>
  <c r="T34" i="21" s="1"/>
  <c r="AQ34" i="21"/>
  <c r="S34" i="21"/>
  <c r="AP34" i="21"/>
  <c r="R34" i="21" s="1"/>
  <c r="AO34" i="21"/>
  <c r="Q34" i="21" s="1"/>
  <c r="AL34" i="21"/>
  <c r="AK34" i="21"/>
  <c r="AI34" i="21"/>
  <c r="AH34" i="21"/>
  <c r="AW34" i="21"/>
  <c r="AR33" i="21"/>
  <c r="T33" i="21" s="1"/>
  <c r="AQ33" i="21"/>
  <c r="S33" i="21" s="1"/>
  <c r="AP33" i="21"/>
  <c r="R33" i="21" s="1"/>
  <c r="AO33" i="21"/>
  <c r="Q33" i="21"/>
  <c r="AL33" i="21"/>
  <c r="AK33" i="21"/>
  <c r="AI33" i="21"/>
  <c r="AH33" i="21"/>
  <c r="AM33" i="21"/>
  <c r="V33" i="21" s="1"/>
  <c r="AW33" i="21"/>
  <c r="AR32" i="21"/>
  <c r="T32" i="21"/>
  <c r="AQ32" i="21"/>
  <c r="S32" i="21"/>
  <c r="AP32" i="21"/>
  <c r="R32" i="21"/>
  <c r="AO32" i="21"/>
  <c r="Q32" i="21"/>
  <c r="AL32" i="21"/>
  <c r="AK32" i="21"/>
  <c r="AM32" i="21" s="1"/>
  <c r="V32" i="21" s="1"/>
  <c r="AI32" i="21"/>
  <c r="AH32" i="21"/>
  <c r="AW32" i="21"/>
  <c r="AR31" i="21"/>
  <c r="T31" i="21"/>
  <c r="AQ31" i="21"/>
  <c r="S31" i="21" s="1"/>
  <c r="AP31" i="21"/>
  <c r="R31" i="21" s="1"/>
  <c r="AO31" i="21"/>
  <c r="Q31" i="21" s="1"/>
  <c r="AL31" i="21"/>
  <c r="AK31" i="21"/>
  <c r="AI31" i="21"/>
  <c r="AH31" i="21"/>
  <c r="AJ31" i="21"/>
  <c r="AW31" i="21"/>
  <c r="AR30" i="21"/>
  <c r="T30" i="21" s="1"/>
  <c r="AQ30" i="21"/>
  <c r="S30" i="21"/>
  <c r="AP30" i="21"/>
  <c r="R30" i="21" s="1"/>
  <c r="AO30" i="21"/>
  <c r="Q30" i="21"/>
  <c r="AL30" i="21"/>
  <c r="AK30" i="21"/>
  <c r="AI30" i="21"/>
  <c r="AH30" i="21"/>
  <c r="AJ30" i="21"/>
  <c r="AX29" i="21"/>
  <c r="AY29" i="21"/>
  <c r="AW30" i="21"/>
  <c r="AR29" i="21"/>
  <c r="T29" i="21" s="1"/>
  <c r="AQ29" i="21"/>
  <c r="S29" i="21" s="1"/>
  <c r="AP29" i="21"/>
  <c r="R29" i="21" s="1"/>
  <c r="AO29" i="21"/>
  <c r="Q29" i="21"/>
  <c r="AL29" i="21"/>
  <c r="AK29" i="21"/>
  <c r="AI29" i="21"/>
  <c r="AH29" i="21"/>
  <c r="AM29" i="21" s="1"/>
  <c r="V29" i="21" s="1"/>
  <c r="AX28" i="21"/>
  <c r="AY28" i="21"/>
  <c r="AW29" i="21"/>
  <c r="AR28" i="21"/>
  <c r="T28" i="21"/>
  <c r="AQ28" i="21"/>
  <c r="S28" i="21" s="1"/>
  <c r="AP28" i="21"/>
  <c r="R28" i="21"/>
  <c r="AO28" i="21"/>
  <c r="Q28" i="21" s="1"/>
  <c r="AL28" i="21"/>
  <c r="AK28" i="21"/>
  <c r="AN28" i="21"/>
  <c r="W28" i="21" s="1"/>
  <c r="AI28" i="21"/>
  <c r="AH28" i="21"/>
  <c r="AJ28" i="21"/>
  <c r="AX27" i="21"/>
  <c r="AY27" i="21" s="1"/>
  <c r="AW28" i="21"/>
  <c r="AR27" i="21"/>
  <c r="T27" i="21"/>
  <c r="AQ27" i="21"/>
  <c r="S27" i="21"/>
  <c r="AP27" i="21"/>
  <c r="R27" i="21"/>
  <c r="AO27" i="21"/>
  <c r="Q27" i="21"/>
  <c r="AL27" i="21"/>
  <c r="AK27" i="21"/>
  <c r="AN27" i="21" s="1"/>
  <c r="W27" i="21" s="1"/>
  <c r="AI27" i="21"/>
  <c r="AH27" i="21"/>
  <c r="AJ27" i="21" s="1"/>
  <c r="AX26" i="21"/>
  <c r="AY26" i="21" s="1"/>
  <c r="AW27" i="21"/>
  <c r="AR26" i="21"/>
  <c r="T26" i="21"/>
  <c r="AQ26" i="21"/>
  <c r="S26" i="21" s="1"/>
  <c r="AP26" i="21"/>
  <c r="R26" i="21"/>
  <c r="AO26" i="21"/>
  <c r="Q26" i="21" s="1"/>
  <c r="AL26" i="21"/>
  <c r="AK26" i="21"/>
  <c r="AI26" i="21"/>
  <c r="AH26" i="21"/>
  <c r="AX25" i="21"/>
  <c r="AY25" i="21"/>
  <c r="AW26" i="21"/>
  <c r="AR25" i="21"/>
  <c r="T25" i="21"/>
  <c r="AQ25" i="21"/>
  <c r="S25" i="21" s="1"/>
  <c r="AP25" i="21"/>
  <c r="R25" i="21"/>
  <c r="AO25" i="21"/>
  <c r="Q25" i="21" s="1"/>
  <c r="AL25" i="21"/>
  <c r="AN25" i="21" s="1"/>
  <c r="W25" i="21"/>
  <c r="AK25" i="21"/>
  <c r="AI25" i="21"/>
  <c r="AH25" i="21"/>
  <c r="AJ25" i="21"/>
  <c r="AX24" i="21"/>
  <c r="AY24" i="21"/>
  <c r="AR24" i="21"/>
  <c r="T24" i="21"/>
  <c r="AQ24" i="21"/>
  <c r="S24" i="21"/>
  <c r="AP24" i="21"/>
  <c r="R24" i="21"/>
  <c r="AO24" i="21"/>
  <c r="Q24" i="21"/>
  <c r="AL24" i="21"/>
  <c r="AK24" i="21"/>
  <c r="AN24" i="21" s="1"/>
  <c r="AI24" i="21"/>
  <c r="AH24" i="21"/>
  <c r="AJ24" i="21" s="1"/>
  <c r="AX23" i="21"/>
  <c r="AY23" i="21" s="1"/>
  <c r="AW24" i="21"/>
  <c r="AR23" i="21"/>
  <c r="T23" i="21" s="1"/>
  <c r="AQ23" i="21"/>
  <c r="S23" i="21"/>
  <c r="AP23" i="21"/>
  <c r="R23" i="21" s="1"/>
  <c r="AO23" i="21"/>
  <c r="Q23" i="21"/>
  <c r="AL23" i="21"/>
  <c r="AK23" i="21"/>
  <c r="AI23" i="21"/>
  <c r="AH23" i="21"/>
  <c r="AJ23" i="21"/>
  <c r="AX22" i="21"/>
  <c r="AY22" i="21" s="1"/>
  <c r="AR22" i="21"/>
  <c r="T22" i="21"/>
  <c r="AQ22" i="21"/>
  <c r="S22" i="21" s="1"/>
  <c r="AP22" i="21"/>
  <c r="R22" i="21"/>
  <c r="AO22" i="21"/>
  <c r="Q22" i="21" s="1"/>
  <c r="AL22" i="21"/>
  <c r="AK22" i="21"/>
  <c r="AI22" i="21"/>
  <c r="AH22" i="21"/>
  <c r="AX21" i="21"/>
  <c r="AY21" i="21" s="1"/>
  <c r="AW22" i="21"/>
  <c r="AR21" i="21"/>
  <c r="T21" i="21"/>
  <c r="AQ21" i="21"/>
  <c r="S21" i="21"/>
  <c r="AP21" i="21"/>
  <c r="R21" i="21"/>
  <c r="AO21" i="21"/>
  <c r="Q21" i="21"/>
  <c r="AL21" i="21"/>
  <c r="AK21" i="21"/>
  <c r="AI21" i="21"/>
  <c r="AJ21" i="21"/>
  <c r="AH21" i="21"/>
  <c r="AX20" i="21"/>
  <c r="AY20" i="21" s="1"/>
  <c r="AW21" i="21"/>
  <c r="AR20" i="21"/>
  <c r="T20" i="21"/>
  <c r="AQ20" i="21"/>
  <c r="S20" i="21"/>
  <c r="AP20" i="21"/>
  <c r="R20" i="21"/>
  <c r="AO20" i="21"/>
  <c r="Q20" i="21"/>
  <c r="AL20" i="21"/>
  <c r="AK20" i="21"/>
  <c r="AI20" i="21"/>
  <c r="AH20" i="21"/>
  <c r="AJ20" i="21" s="1"/>
  <c r="AX19" i="21"/>
  <c r="AY19" i="21" s="1"/>
  <c r="AW20" i="21"/>
  <c r="AR19" i="21"/>
  <c r="T19" i="21"/>
  <c r="AQ19" i="21"/>
  <c r="S19" i="21" s="1"/>
  <c r="AP19" i="21"/>
  <c r="R19" i="21"/>
  <c r="AO19" i="21"/>
  <c r="Q19" i="21" s="1"/>
  <c r="AL19" i="21"/>
  <c r="AK19" i="21"/>
  <c r="AI19" i="21"/>
  <c r="AH19" i="21"/>
  <c r="AX18" i="21"/>
  <c r="AW19" i="21"/>
  <c r="AR18" i="21"/>
  <c r="T18" i="21"/>
  <c r="AQ18" i="21"/>
  <c r="S18" i="21"/>
  <c r="AP18" i="21"/>
  <c r="R18" i="21"/>
  <c r="AO18" i="21"/>
  <c r="Q18" i="21"/>
  <c r="AL18" i="21"/>
  <c r="AK18" i="21"/>
  <c r="AI18" i="21"/>
  <c r="AH18" i="21"/>
  <c r="AX17" i="21"/>
  <c r="AW18" i="21"/>
  <c r="AR17" i="21"/>
  <c r="T17" i="21"/>
  <c r="AQ17" i="21"/>
  <c r="S17" i="21"/>
  <c r="AP17" i="21"/>
  <c r="R17" i="21"/>
  <c r="AO17" i="21"/>
  <c r="Q17" i="21"/>
  <c r="AL17" i="21"/>
  <c r="AK17" i="21"/>
  <c r="AI17" i="21"/>
  <c r="AH17" i="21"/>
  <c r="AX16" i="21"/>
  <c r="AW17" i="21"/>
  <c r="AR16" i="21"/>
  <c r="T16" i="21"/>
  <c r="AQ16" i="21"/>
  <c r="S16" i="21" s="1"/>
  <c r="AP16" i="21"/>
  <c r="R16" i="21"/>
  <c r="AO16" i="21"/>
  <c r="Q16" i="21" s="1"/>
  <c r="AL16" i="21"/>
  <c r="AK16" i="21"/>
  <c r="AI16" i="21"/>
  <c r="AH16" i="21"/>
  <c r="AM16" i="21"/>
  <c r="V16" i="21" s="1"/>
  <c r="AX15" i="21"/>
  <c r="AY15" i="21" s="1"/>
  <c r="AW16" i="21"/>
  <c r="AR15" i="21"/>
  <c r="T15" i="21" s="1"/>
  <c r="AQ15" i="21"/>
  <c r="S15" i="21"/>
  <c r="AP15" i="21"/>
  <c r="R15" i="21" s="1"/>
  <c r="AO15" i="21"/>
  <c r="Q15" i="21"/>
  <c r="AL15" i="21"/>
  <c r="AK15" i="21"/>
  <c r="AI15" i="21"/>
  <c r="AH15" i="21"/>
  <c r="AJ15" i="21" s="1"/>
  <c r="AX14" i="21"/>
  <c r="AW15" i="21"/>
  <c r="AR14" i="21"/>
  <c r="T14" i="21"/>
  <c r="AQ14" i="21"/>
  <c r="S14" i="21" s="1"/>
  <c r="AP14" i="21"/>
  <c r="R14" i="21"/>
  <c r="AO14" i="21"/>
  <c r="Q14" i="21" s="1"/>
  <c r="AL14" i="21"/>
  <c r="AK14" i="21"/>
  <c r="AI14" i="21"/>
  <c r="AJ14" i="21" s="1"/>
  <c r="AH14" i="21"/>
  <c r="AX13" i="21"/>
  <c r="AW14" i="21"/>
  <c r="AR13" i="21"/>
  <c r="T13" i="21"/>
  <c r="AQ13" i="21"/>
  <c r="S13" i="21" s="1"/>
  <c r="AP13" i="21"/>
  <c r="R13" i="21" s="1"/>
  <c r="AO13" i="21"/>
  <c r="Q13" i="21" s="1"/>
  <c r="AL13" i="21"/>
  <c r="AK13" i="21"/>
  <c r="AN13" i="21" s="1"/>
  <c r="W13" i="21" s="1"/>
  <c r="AI13" i="21"/>
  <c r="AH13" i="21"/>
  <c r="AM13" i="21" s="1"/>
  <c r="V13" i="21" s="1"/>
  <c r="AX12" i="21"/>
  <c r="AW13" i="21"/>
  <c r="AR12" i="21"/>
  <c r="T12" i="21"/>
  <c r="AQ12" i="21"/>
  <c r="S12" i="21"/>
  <c r="AP12" i="21"/>
  <c r="R12" i="21"/>
  <c r="AO12" i="21"/>
  <c r="Q12" i="21"/>
  <c r="AL12" i="21"/>
  <c r="AK12" i="21"/>
  <c r="AN12" i="21"/>
  <c r="W12" i="21"/>
  <c r="AI12" i="21"/>
  <c r="AH12" i="21"/>
  <c r="AX11" i="21"/>
  <c r="AW12" i="21"/>
  <c r="AR11" i="21"/>
  <c r="T11" i="21"/>
  <c r="AQ11" i="21"/>
  <c r="S11" i="21" s="1"/>
  <c r="AP11" i="21"/>
  <c r="R11" i="21" s="1"/>
  <c r="AO11" i="21"/>
  <c r="Q11" i="21" s="1"/>
  <c r="AL11" i="21"/>
  <c r="AK11" i="21"/>
  <c r="AI11" i="21"/>
  <c r="AH11" i="21"/>
  <c r="AX10" i="21"/>
  <c r="AW10" i="21"/>
  <c r="AR10" i="21"/>
  <c r="T10" i="21" s="1"/>
  <c r="AQ10" i="21"/>
  <c r="S10" i="21"/>
  <c r="AP10" i="21"/>
  <c r="R10" i="21" s="1"/>
  <c r="AO10" i="21"/>
  <c r="Q10" i="21"/>
  <c r="AL10" i="21"/>
  <c r="AK10" i="21"/>
  <c r="AI10" i="21"/>
  <c r="AH10" i="21"/>
  <c r="AX9" i="21"/>
  <c r="AY9" i="21" s="1"/>
  <c r="AW9" i="21"/>
  <c r="AR9" i="21"/>
  <c r="T9" i="21" s="1"/>
  <c r="AQ9" i="21"/>
  <c r="S9" i="21"/>
  <c r="AP9" i="21"/>
  <c r="R9" i="21" s="1"/>
  <c r="AO9" i="21"/>
  <c r="Q9" i="21"/>
  <c r="AL9" i="21"/>
  <c r="AK9" i="21"/>
  <c r="AI9" i="21"/>
  <c r="AH9" i="21"/>
  <c r="AJ9" i="21"/>
  <c r="AW8" i="21"/>
  <c r="AR8" i="21"/>
  <c r="T8" i="21"/>
  <c r="AQ8" i="21"/>
  <c r="S8" i="21" s="1"/>
  <c r="AP8" i="21"/>
  <c r="R8" i="21"/>
  <c r="AO8" i="21"/>
  <c r="Q8" i="21" s="1"/>
  <c r="AL8" i="21"/>
  <c r="AK8" i="21"/>
  <c r="AI8" i="21"/>
  <c r="AH8" i="21"/>
  <c r="D3" i="21"/>
  <c r="AB59" i="20"/>
  <c r="M53" i="20"/>
  <c r="S53" i="20" s="1"/>
  <c r="AK48" i="20"/>
  <c r="AW48" i="20"/>
  <c r="AW47" i="20"/>
  <c r="AM46" i="20"/>
  <c r="AW46" i="20"/>
  <c r="AW45" i="20"/>
  <c r="AQ44" i="20"/>
  <c r="AQ46" i="20" s="1"/>
  <c r="AM44" i="20"/>
  <c r="AW44" i="20"/>
  <c r="AW43" i="20"/>
  <c r="AW42" i="20"/>
  <c r="AW41" i="20"/>
  <c r="AW40" i="20"/>
  <c r="AR38" i="20"/>
  <c r="T38" i="20" s="1"/>
  <c r="AQ38" i="20"/>
  <c r="S38" i="20"/>
  <c r="AP38" i="20"/>
  <c r="R38" i="20" s="1"/>
  <c r="AO38" i="20"/>
  <c r="Q38" i="20"/>
  <c r="AL38" i="20"/>
  <c r="AK38" i="20"/>
  <c r="AI38" i="20"/>
  <c r="AH38" i="20"/>
  <c r="AR37" i="20"/>
  <c r="T37" i="20"/>
  <c r="AQ37" i="20"/>
  <c r="S37" i="20"/>
  <c r="AP37" i="20"/>
  <c r="R37" i="20"/>
  <c r="AO37" i="20"/>
  <c r="AL37" i="20"/>
  <c r="AK37" i="20"/>
  <c r="AN37" i="20"/>
  <c r="W37" i="20" s="1"/>
  <c r="AI37" i="20"/>
  <c r="AH37" i="20"/>
  <c r="AJ37" i="20"/>
  <c r="Q37" i="20"/>
  <c r="AR36" i="20"/>
  <c r="T36" i="20" s="1"/>
  <c r="AQ36" i="20"/>
  <c r="AP36" i="20"/>
  <c r="R36" i="20" s="1"/>
  <c r="AO36" i="20"/>
  <c r="Q36" i="20" s="1"/>
  <c r="AL36" i="20"/>
  <c r="AK36" i="20"/>
  <c r="AI36" i="20"/>
  <c r="AH36" i="20"/>
  <c r="S36" i="20"/>
  <c r="AW36" i="20"/>
  <c r="AR35" i="20"/>
  <c r="T35" i="20" s="1"/>
  <c r="AQ35" i="20"/>
  <c r="S35" i="20"/>
  <c r="AP35" i="20"/>
  <c r="R35" i="20" s="1"/>
  <c r="AO35" i="20"/>
  <c r="Q35" i="20"/>
  <c r="AL35" i="20"/>
  <c r="AK35" i="20"/>
  <c r="AI35" i="20"/>
  <c r="AH35" i="20"/>
  <c r="AW35" i="20"/>
  <c r="AR34" i="20"/>
  <c r="T34" i="20"/>
  <c r="AQ34" i="20"/>
  <c r="S34" i="20"/>
  <c r="AP34" i="20"/>
  <c r="R34" i="20"/>
  <c r="AO34" i="20"/>
  <c r="AL34" i="20"/>
  <c r="AK34" i="20"/>
  <c r="AN34" i="20"/>
  <c r="W34" i="20" s="1"/>
  <c r="AI34" i="20"/>
  <c r="AH34" i="20"/>
  <c r="Q34" i="20"/>
  <c r="AW34" i="20"/>
  <c r="AR33" i="20"/>
  <c r="T33" i="20" s="1"/>
  <c r="AQ33" i="20"/>
  <c r="S33" i="20"/>
  <c r="AP33" i="20"/>
  <c r="R33" i="20" s="1"/>
  <c r="AO33" i="20"/>
  <c r="Q33" i="20"/>
  <c r="AL33" i="20"/>
  <c r="AK33" i="20"/>
  <c r="AI33" i="20"/>
  <c r="AH33" i="20"/>
  <c r="AJ33" i="20" s="1"/>
  <c r="AW33" i="20"/>
  <c r="AR32" i="20"/>
  <c r="T32" i="20" s="1"/>
  <c r="AQ32" i="20"/>
  <c r="S32" i="20"/>
  <c r="AP32" i="20"/>
  <c r="R32" i="20" s="1"/>
  <c r="AO32" i="20"/>
  <c r="Q32" i="20"/>
  <c r="AL32" i="20"/>
  <c r="AK32" i="20"/>
  <c r="AI32" i="20"/>
  <c r="AH32" i="20"/>
  <c r="AJ32" i="20" s="1"/>
  <c r="AW32" i="20"/>
  <c r="AR31" i="20"/>
  <c r="T31" i="20" s="1"/>
  <c r="AQ31" i="20"/>
  <c r="S31" i="20"/>
  <c r="AP31" i="20"/>
  <c r="R31" i="20" s="1"/>
  <c r="AO31" i="20"/>
  <c r="AL31" i="20"/>
  <c r="AK31" i="20"/>
  <c r="AI31" i="20"/>
  <c r="AH31" i="20"/>
  <c r="Q31" i="20"/>
  <c r="AW31" i="20"/>
  <c r="AR30" i="20"/>
  <c r="T30" i="20" s="1"/>
  <c r="AQ30" i="20"/>
  <c r="S30" i="20" s="1"/>
  <c r="AP30" i="20"/>
  <c r="R30" i="20" s="1"/>
  <c r="AO30" i="20"/>
  <c r="AL30" i="20"/>
  <c r="AK30" i="20"/>
  <c r="AI30" i="20"/>
  <c r="AH30" i="20"/>
  <c r="Q30" i="20"/>
  <c r="AX29" i="20"/>
  <c r="AY29" i="20"/>
  <c r="AW30" i="20"/>
  <c r="AR29" i="20"/>
  <c r="T29" i="20" s="1"/>
  <c r="AQ29" i="20"/>
  <c r="S29" i="20" s="1"/>
  <c r="AP29" i="20"/>
  <c r="R29" i="20" s="1"/>
  <c r="AO29" i="20"/>
  <c r="Q29" i="20"/>
  <c r="AL29" i="20"/>
  <c r="AK29" i="20"/>
  <c r="AI29" i="20"/>
  <c r="AH29" i="20"/>
  <c r="AM29" i="20"/>
  <c r="V29" i="20" s="1"/>
  <c r="AX28" i="20"/>
  <c r="AY28" i="20" s="1"/>
  <c r="AW29" i="20"/>
  <c r="AR28" i="20"/>
  <c r="T28" i="20" s="1"/>
  <c r="AQ28" i="20"/>
  <c r="S28" i="20"/>
  <c r="AP28" i="20"/>
  <c r="R28" i="20" s="1"/>
  <c r="AO28" i="20"/>
  <c r="Q28" i="20" s="1"/>
  <c r="AL28" i="20"/>
  <c r="AK28" i="20"/>
  <c r="AI28" i="20"/>
  <c r="AJ28" i="20" s="1"/>
  <c r="AH28" i="20"/>
  <c r="AX27" i="20"/>
  <c r="AY27" i="20" s="1"/>
  <c r="AW28" i="20"/>
  <c r="AR27" i="20"/>
  <c r="T27" i="20"/>
  <c r="AQ27" i="20"/>
  <c r="S27" i="20" s="1"/>
  <c r="AP27" i="20"/>
  <c r="R27" i="20"/>
  <c r="AO27" i="20"/>
  <c r="Q27" i="20" s="1"/>
  <c r="AL27" i="20"/>
  <c r="AN27" i="20" s="1"/>
  <c r="W27" i="20" s="1"/>
  <c r="AK27" i="20"/>
  <c r="AI27" i="20"/>
  <c r="AH27" i="20"/>
  <c r="AM27" i="20"/>
  <c r="V27" i="20" s="1"/>
  <c r="AX26" i="20"/>
  <c r="AY26" i="20" s="1"/>
  <c r="AW27" i="20"/>
  <c r="AR26" i="20"/>
  <c r="T26" i="20" s="1"/>
  <c r="AQ26" i="20"/>
  <c r="S26" i="20"/>
  <c r="AP26" i="20"/>
  <c r="R26" i="20" s="1"/>
  <c r="AO26" i="20"/>
  <c r="Q26" i="20"/>
  <c r="AL26" i="20"/>
  <c r="AN26" i="20" s="1"/>
  <c r="W26" i="20" s="1"/>
  <c r="AK26" i="20"/>
  <c r="AI26" i="20"/>
  <c r="AJ26" i="20" s="1"/>
  <c r="AH26" i="20"/>
  <c r="AX25" i="20"/>
  <c r="AY25" i="20"/>
  <c r="AW26" i="20"/>
  <c r="AR25" i="20"/>
  <c r="T25" i="20"/>
  <c r="AQ25" i="20"/>
  <c r="S25" i="20" s="1"/>
  <c r="AP25" i="20"/>
  <c r="R25" i="20"/>
  <c r="AO25" i="20"/>
  <c r="Q25" i="20" s="1"/>
  <c r="AL25" i="20"/>
  <c r="AK25" i="20"/>
  <c r="AM25" i="20" s="1"/>
  <c r="V25" i="20" s="1"/>
  <c r="AI25" i="20"/>
  <c r="AJ25" i="20" s="1"/>
  <c r="AH25" i="20"/>
  <c r="AX24" i="20"/>
  <c r="AY24" i="20" s="1"/>
  <c r="AR24" i="20"/>
  <c r="T24" i="20"/>
  <c r="AQ24" i="20"/>
  <c r="S24" i="20" s="1"/>
  <c r="AP24" i="20"/>
  <c r="R24" i="20"/>
  <c r="AO24" i="20"/>
  <c r="Q24" i="20" s="1"/>
  <c r="AL24" i="20"/>
  <c r="AK24" i="20"/>
  <c r="AN24" i="20"/>
  <c r="W24" i="20" s="1"/>
  <c r="AI24" i="20"/>
  <c r="AH24" i="20"/>
  <c r="AJ24" i="20"/>
  <c r="AX23" i="20"/>
  <c r="AY23" i="20"/>
  <c r="AW24" i="20"/>
  <c r="AR23" i="20"/>
  <c r="T23" i="20" s="1"/>
  <c r="AQ23" i="20"/>
  <c r="S23" i="20"/>
  <c r="AP23" i="20"/>
  <c r="R23" i="20" s="1"/>
  <c r="AO23" i="20"/>
  <c r="Q23" i="20"/>
  <c r="AL23" i="20"/>
  <c r="AK23" i="20"/>
  <c r="AI23" i="20"/>
  <c r="AH23" i="20"/>
  <c r="AM23" i="20"/>
  <c r="V23" i="20" s="1"/>
  <c r="AX22" i="20"/>
  <c r="AY22" i="20"/>
  <c r="AR22" i="20"/>
  <c r="T22" i="20" s="1"/>
  <c r="AQ22" i="20"/>
  <c r="S22" i="20"/>
  <c r="AP22" i="20"/>
  <c r="R22" i="20" s="1"/>
  <c r="AO22" i="20"/>
  <c r="Q22" i="20" s="1"/>
  <c r="AL22" i="20"/>
  <c r="AK22" i="20"/>
  <c r="AN22" i="20" s="1"/>
  <c r="W22" i="20" s="1"/>
  <c r="AI22" i="20"/>
  <c r="AH22" i="20"/>
  <c r="AX21" i="20"/>
  <c r="AY21" i="20"/>
  <c r="AW22" i="20"/>
  <c r="AR21" i="20"/>
  <c r="T21" i="20"/>
  <c r="AQ21" i="20"/>
  <c r="S21" i="20"/>
  <c r="AP21" i="20"/>
  <c r="R21" i="20"/>
  <c r="AO21" i="20"/>
  <c r="Q21" i="20"/>
  <c r="AL21" i="20"/>
  <c r="AK21" i="20"/>
  <c r="AI21" i="20"/>
  <c r="AH21" i="20"/>
  <c r="AX20" i="20"/>
  <c r="AY20" i="20"/>
  <c r="AW21" i="20"/>
  <c r="AR20" i="20"/>
  <c r="T20" i="20"/>
  <c r="AQ20" i="20"/>
  <c r="S20" i="20"/>
  <c r="AP20" i="20"/>
  <c r="R20" i="20"/>
  <c r="AO20" i="20"/>
  <c r="Q20" i="20"/>
  <c r="AL20" i="20"/>
  <c r="AK20" i="20"/>
  <c r="AN20" i="20" s="1"/>
  <c r="W20" i="20" s="1"/>
  <c r="AI20" i="20"/>
  <c r="AH20" i="20"/>
  <c r="AJ20" i="20"/>
  <c r="AM20" i="20"/>
  <c r="V20" i="20" s="1"/>
  <c r="AX19" i="20"/>
  <c r="AY19" i="20"/>
  <c r="AW20" i="20"/>
  <c r="AR19" i="20"/>
  <c r="T19" i="20"/>
  <c r="AQ19" i="20"/>
  <c r="S19" i="20"/>
  <c r="AP19" i="20"/>
  <c r="R19" i="20"/>
  <c r="AO19" i="20"/>
  <c r="Q19" i="20"/>
  <c r="AL19" i="20"/>
  <c r="AK19" i="20"/>
  <c r="AI19" i="20"/>
  <c r="AH19" i="20"/>
  <c r="AM19" i="20" s="1"/>
  <c r="V19" i="20" s="1"/>
  <c r="AX18" i="20"/>
  <c r="AW19" i="20"/>
  <c r="AR18" i="20"/>
  <c r="T18" i="20"/>
  <c r="AQ18" i="20"/>
  <c r="S18" i="20"/>
  <c r="AP18" i="20"/>
  <c r="R18" i="20"/>
  <c r="AO18" i="20"/>
  <c r="Q18" i="20"/>
  <c r="M47" i="20" s="1"/>
  <c r="AL18" i="20"/>
  <c r="AK18" i="20"/>
  <c r="AN18" i="20"/>
  <c r="W18" i="20"/>
  <c r="AI18" i="20"/>
  <c r="AH18" i="20"/>
  <c r="AJ18" i="20" s="1"/>
  <c r="AM18" i="20"/>
  <c r="V18" i="20"/>
  <c r="AX17" i="20"/>
  <c r="AW18" i="20"/>
  <c r="AR17" i="20"/>
  <c r="T17" i="20" s="1"/>
  <c r="AQ17" i="20"/>
  <c r="S17" i="20" s="1"/>
  <c r="R49" i="20" s="1"/>
  <c r="AP17" i="20"/>
  <c r="R17" i="20"/>
  <c r="AO17" i="20"/>
  <c r="Q17" i="20"/>
  <c r="AL17" i="20"/>
  <c r="AK17" i="20"/>
  <c r="AN17" i="20" s="1"/>
  <c r="W17" i="20" s="1"/>
  <c r="AI17" i="20"/>
  <c r="AH17" i="20"/>
  <c r="AX16" i="20"/>
  <c r="AW17" i="20"/>
  <c r="AR16" i="20"/>
  <c r="T16" i="20" s="1"/>
  <c r="AQ16" i="20"/>
  <c r="S16" i="20"/>
  <c r="AP16" i="20"/>
  <c r="R16" i="20" s="1"/>
  <c r="AO16" i="20"/>
  <c r="Q16" i="20"/>
  <c r="AL16" i="20"/>
  <c r="AN16" i="20" s="1"/>
  <c r="W16" i="20" s="1"/>
  <c r="AK16" i="20"/>
  <c r="AI16" i="20"/>
  <c r="AH16" i="20"/>
  <c r="AX15" i="20"/>
  <c r="AY15" i="20"/>
  <c r="AW16" i="20"/>
  <c r="AR15" i="20"/>
  <c r="T15" i="20"/>
  <c r="AQ15" i="20"/>
  <c r="S15" i="20"/>
  <c r="AP15" i="20"/>
  <c r="R15" i="20"/>
  <c r="AO15" i="20"/>
  <c r="Q15" i="20"/>
  <c r="AL15" i="20"/>
  <c r="AK15" i="20"/>
  <c r="AN15" i="20"/>
  <c r="W15" i="20"/>
  <c r="AI15" i="20"/>
  <c r="AH15" i="20"/>
  <c r="AM15" i="20"/>
  <c r="V15" i="20"/>
  <c r="AX14" i="20"/>
  <c r="AW15" i="20"/>
  <c r="AR14" i="20"/>
  <c r="T14" i="20"/>
  <c r="AQ14" i="20"/>
  <c r="S14" i="20"/>
  <c r="AP14" i="20"/>
  <c r="AO14" i="20"/>
  <c r="Q14" i="20" s="1"/>
  <c r="AL14" i="20"/>
  <c r="AK14" i="20"/>
  <c r="AN14" i="20" s="1"/>
  <c r="W14" i="20" s="1"/>
  <c r="AM14" i="20"/>
  <c r="V14" i="20" s="1"/>
  <c r="AI14" i="20"/>
  <c r="AH14" i="20"/>
  <c r="AJ14" i="20" s="1"/>
  <c r="R14" i="20"/>
  <c r="AX13" i="20"/>
  <c r="AY13" i="20" s="1"/>
  <c r="AW14" i="20"/>
  <c r="AR13" i="20"/>
  <c r="T13" i="20"/>
  <c r="AQ13" i="20"/>
  <c r="S13" i="20"/>
  <c r="AP13" i="20"/>
  <c r="R13" i="20"/>
  <c r="AO13" i="20"/>
  <c r="Q13" i="20"/>
  <c r="AL13" i="20"/>
  <c r="AN13" i="20"/>
  <c r="W13" i="20" s="1"/>
  <c r="AK13" i="20"/>
  <c r="AI13" i="20"/>
  <c r="AH13" i="20"/>
  <c r="AX12" i="20"/>
  <c r="AW13" i="20"/>
  <c r="AR12" i="20"/>
  <c r="T12" i="20" s="1"/>
  <c r="AQ12" i="20"/>
  <c r="S12" i="20"/>
  <c r="AP12" i="20"/>
  <c r="R12" i="20" s="1"/>
  <c r="AO12" i="20"/>
  <c r="AL12" i="20"/>
  <c r="AK12" i="20"/>
  <c r="AI12" i="20"/>
  <c r="AJ12" i="20"/>
  <c r="AH12" i="20"/>
  <c r="Q12" i="20"/>
  <c r="AX11" i="20"/>
  <c r="AW12" i="20"/>
  <c r="AR11" i="20"/>
  <c r="T11" i="20" s="1"/>
  <c r="R50" i="20" s="1"/>
  <c r="AQ11" i="20"/>
  <c r="S11" i="20"/>
  <c r="AP11" i="20"/>
  <c r="R11" i="20" s="1"/>
  <c r="AO11" i="20"/>
  <c r="Q11" i="20"/>
  <c r="AL11" i="20"/>
  <c r="AK11" i="20"/>
  <c r="AM11" i="20"/>
  <c r="V11" i="20"/>
  <c r="AI11" i="20"/>
  <c r="AH11" i="20"/>
  <c r="AX10" i="20"/>
  <c r="AW10" i="20"/>
  <c r="AR10" i="20"/>
  <c r="T10" i="20" s="1"/>
  <c r="AQ10" i="20"/>
  <c r="S10" i="20"/>
  <c r="AP10" i="20"/>
  <c r="R10" i="20" s="1"/>
  <c r="AO10" i="20"/>
  <c r="Q10" i="20"/>
  <c r="AL10" i="20"/>
  <c r="AN10" i="20" s="1"/>
  <c r="W10" i="20" s="1"/>
  <c r="AK10" i="20"/>
  <c r="AI10" i="20"/>
  <c r="AJ10" i="20" s="1"/>
  <c r="AH10" i="20"/>
  <c r="AX9" i="20"/>
  <c r="AW9" i="20"/>
  <c r="AR9" i="20"/>
  <c r="T9" i="20" s="1"/>
  <c r="AQ9" i="20"/>
  <c r="S9" i="20"/>
  <c r="AP9" i="20"/>
  <c r="R9" i="20" s="1"/>
  <c r="AO9" i="20"/>
  <c r="AL9" i="20"/>
  <c r="AK9" i="20"/>
  <c r="AI9" i="20"/>
  <c r="AJ9" i="20"/>
  <c r="AH9" i="20"/>
  <c r="Q9" i="20"/>
  <c r="AW8" i="20"/>
  <c r="AR8" i="20"/>
  <c r="T8" i="20" s="1"/>
  <c r="AQ8" i="20"/>
  <c r="S8" i="20"/>
  <c r="AP8" i="20"/>
  <c r="R8" i="20" s="1"/>
  <c r="AO8" i="20"/>
  <c r="Q8" i="20"/>
  <c r="AL8" i="20"/>
  <c r="AK8" i="20"/>
  <c r="AI8" i="20"/>
  <c r="AH8" i="20"/>
  <c r="D3" i="20"/>
  <c r="AB58" i="19"/>
  <c r="M52" i="19"/>
  <c r="S52" i="19"/>
  <c r="AK47" i="19"/>
  <c r="AW47" i="19"/>
  <c r="AW46" i="19"/>
  <c r="AM45" i="19"/>
  <c r="AW45" i="19"/>
  <c r="AW44" i="19"/>
  <c r="AQ43" i="19"/>
  <c r="AM43" i="19"/>
  <c r="AW43" i="19"/>
  <c r="AW42" i="19"/>
  <c r="AW41" i="19"/>
  <c r="AW40" i="19"/>
  <c r="AW39" i="19"/>
  <c r="AR37" i="19"/>
  <c r="T37" i="19" s="1"/>
  <c r="AQ37" i="19"/>
  <c r="S37" i="19"/>
  <c r="AP37" i="19"/>
  <c r="R37" i="19" s="1"/>
  <c r="AO37" i="19"/>
  <c r="Q37" i="19"/>
  <c r="AL37" i="19"/>
  <c r="AN37" i="19" s="1"/>
  <c r="W37" i="19" s="1"/>
  <c r="AK37" i="19"/>
  <c r="AI37" i="19"/>
  <c r="AH37" i="19"/>
  <c r="AR36" i="19"/>
  <c r="T36" i="19"/>
  <c r="AQ36" i="19"/>
  <c r="S36" i="19" s="1"/>
  <c r="AP36" i="19"/>
  <c r="AO36" i="19"/>
  <c r="Q36" i="19"/>
  <c r="AL36" i="19"/>
  <c r="AK36" i="19"/>
  <c r="AI36" i="19"/>
  <c r="AJ36" i="19"/>
  <c r="AH36" i="19"/>
  <c r="R36" i="19"/>
  <c r="AW36" i="19"/>
  <c r="AR35" i="19"/>
  <c r="T35" i="19" s="1"/>
  <c r="AQ35" i="19"/>
  <c r="AP35" i="19"/>
  <c r="R35" i="19"/>
  <c r="AO35" i="19"/>
  <c r="Q35" i="19"/>
  <c r="AL35" i="19"/>
  <c r="AK35" i="19"/>
  <c r="AN35" i="19" s="1"/>
  <c r="W35" i="19" s="1"/>
  <c r="AI35" i="19"/>
  <c r="AH35" i="19"/>
  <c r="S35" i="19"/>
  <c r="AW35" i="19"/>
  <c r="AR34" i="19"/>
  <c r="T34" i="19"/>
  <c r="AQ34" i="19"/>
  <c r="S34" i="19"/>
  <c r="AP34" i="19"/>
  <c r="R34" i="19"/>
  <c r="AO34" i="19"/>
  <c r="Q34" i="19"/>
  <c r="AL34" i="19"/>
  <c r="AK34" i="19"/>
  <c r="AM34" i="19"/>
  <c r="V34" i="19"/>
  <c r="AI34" i="19"/>
  <c r="AH34" i="19"/>
  <c r="AW34" i="19"/>
  <c r="AR33" i="19"/>
  <c r="T33" i="19" s="1"/>
  <c r="AQ33" i="19"/>
  <c r="S33" i="19"/>
  <c r="AP33" i="19"/>
  <c r="R33" i="19" s="1"/>
  <c r="AO33" i="19"/>
  <c r="Q33" i="19"/>
  <c r="AL33" i="19"/>
  <c r="AN33" i="19" s="1"/>
  <c r="W33" i="19" s="1"/>
  <c r="AK33" i="19"/>
  <c r="AM33" i="19"/>
  <c r="V33" i="19"/>
  <c r="AI33" i="19"/>
  <c r="AJ33" i="19" s="1"/>
  <c r="AH33" i="19"/>
  <c r="AW33" i="19"/>
  <c r="AR32" i="19"/>
  <c r="T32" i="19" s="1"/>
  <c r="AQ32" i="19"/>
  <c r="S32" i="19"/>
  <c r="AP32" i="19"/>
  <c r="R32" i="19" s="1"/>
  <c r="AO32" i="19"/>
  <c r="Q32" i="19"/>
  <c r="AL32" i="19"/>
  <c r="AK32" i="19"/>
  <c r="AM32" i="19" s="1"/>
  <c r="AI32" i="19"/>
  <c r="AH32" i="19"/>
  <c r="AJ32" i="19" s="1"/>
  <c r="V32" i="19"/>
  <c r="AW32" i="19"/>
  <c r="AR31" i="19"/>
  <c r="T31" i="19" s="1"/>
  <c r="AQ31" i="19"/>
  <c r="S31" i="19"/>
  <c r="AP31" i="19"/>
  <c r="R31" i="19" s="1"/>
  <c r="AO31" i="19"/>
  <c r="Q31" i="19"/>
  <c r="AL31" i="19"/>
  <c r="AN31" i="19" s="1"/>
  <c r="W31" i="19" s="1"/>
  <c r="AK31" i="19"/>
  <c r="AI31" i="19"/>
  <c r="AJ31" i="19" s="1"/>
  <c r="AH31" i="19"/>
  <c r="AW31" i="19"/>
  <c r="AR30" i="19"/>
  <c r="T30" i="19" s="1"/>
  <c r="AQ30" i="19"/>
  <c r="S30" i="19"/>
  <c r="AP30" i="19"/>
  <c r="R30" i="19" s="1"/>
  <c r="AO30" i="19"/>
  <c r="Q30" i="19"/>
  <c r="AL30" i="19"/>
  <c r="AK30" i="19"/>
  <c r="AN30" i="19" s="1"/>
  <c r="W30" i="19" s="1"/>
  <c r="AI30" i="19"/>
  <c r="AJ30" i="19" s="1"/>
  <c r="AH30" i="19"/>
  <c r="AX29" i="19"/>
  <c r="AY29" i="19"/>
  <c r="AW30" i="19"/>
  <c r="AR29" i="19"/>
  <c r="T29" i="19"/>
  <c r="AQ29" i="19"/>
  <c r="S29" i="19" s="1"/>
  <c r="AP29" i="19"/>
  <c r="R29" i="19"/>
  <c r="AO29" i="19"/>
  <c r="Q29" i="19" s="1"/>
  <c r="AL29" i="19"/>
  <c r="AK29" i="19"/>
  <c r="AI29" i="19"/>
  <c r="AJ29" i="19" s="1"/>
  <c r="AH29" i="19"/>
  <c r="AX28" i="19"/>
  <c r="AY28" i="19"/>
  <c r="AW29" i="19"/>
  <c r="AR28" i="19"/>
  <c r="T28" i="19"/>
  <c r="AQ28" i="19"/>
  <c r="S28" i="19"/>
  <c r="AP28" i="19"/>
  <c r="R28" i="19"/>
  <c r="AO28" i="19"/>
  <c r="Q28" i="19"/>
  <c r="AL28" i="19"/>
  <c r="AK28" i="19"/>
  <c r="AN28" i="19"/>
  <c r="W28" i="19"/>
  <c r="AI28" i="19"/>
  <c r="AH28" i="19"/>
  <c r="AJ28" i="19"/>
  <c r="AX27" i="19"/>
  <c r="AY27" i="19" s="1"/>
  <c r="AW28" i="19"/>
  <c r="AR27" i="19"/>
  <c r="T27" i="19"/>
  <c r="AQ27" i="19"/>
  <c r="S27" i="19"/>
  <c r="AP27" i="19"/>
  <c r="R27" i="19"/>
  <c r="AO27" i="19"/>
  <c r="Q27" i="19"/>
  <c r="AL27" i="19"/>
  <c r="AK27" i="19"/>
  <c r="AN27" i="19" s="1"/>
  <c r="W27" i="19" s="1"/>
  <c r="AI27" i="19"/>
  <c r="AH27" i="19"/>
  <c r="AX26" i="19"/>
  <c r="AY26" i="19"/>
  <c r="AW27" i="19"/>
  <c r="AR26" i="19"/>
  <c r="T26" i="19"/>
  <c r="AQ26" i="19"/>
  <c r="S26" i="19"/>
  <c r="AP26" i="19"/>
  <c r="R26" i="19"/>
  <c r="AO26" i="19"/>
  <c r="Q26" i="19"/>
  <c r="M46" i="19" s="1"/>
  <c r="AL26" i="19"/>
  <c r="AK26" i="19"/>
  <c r="AI26" i="19"/>
  <c r="AH26" i="19"/>
  <c r="AJ26" i="19"/>
  <c r="AX25" i="19"/>
  <c r="AY25" i="19" s="1"/>
  <c r="AW26" i="19"/>
  <c r="AR25" i="19"/>
  <c r="T25" i="19"/>
  <c r="AQ25" i="19"/>
  <c r="S25" i="19"/>
  <c r="AP25" i="19"/>
  <c r="R25" i="19"/>
  <c r="AO25" i="19"/>
  <c r="Q25" i="19"/>
  <c r="AL25" i="19"/>
  <c r="AK25" i="19"/>
  <c r="AI25" i="19"/>
  <c r="AJ25" i="19"/>
  <c r="AH25" i="19"/>
  <c r="AX24" i="19"/>
  <c r="AY24" i="19" s="1"/>
  <c r="AR24" i="19"/>
  <c r="T24" i="19"/>
  <c r="AQ24" i="19"/>
  <c r="S24" i="19" s="1"/>
  <c r="AP24" i="19"/>
  <c r="R24" i="19"/>
  <c r="AO24" i="19"/>
  <c r="Q24" i="19" s="1"/>
  <c r="AL24" i="19"/>
  <c r="AK24" i="19"/>
  <c r="AM24" i="19"/>
  <c r="V24" i="19" s="1"/>
  <c r="AI24" i="19"/>
  <c r="AH24" i="19"/>
  <c r="AJ24" i="19"/>
  <c r="AX23" i="19"/>
  <c r="AY23" i="19"/>
  <c r="AW24" i="19"/>
  <c r="AR23" i="19"/>
  <c r="T23" i="19" s="1"/>
  <c r="AQ23" i="19"/>
  <c r="S23" i="19"/>
  <c r="AP23" i="19"/>
  <c r="R23" i="19" s="1"/>
  <c r="AO23" i="19"/>
  <c r="Q23" i="19"/>
  <c r="AL23" i="19"/>
  <c r="AN23" i="19" s="1"/>
  <c r="W23" i="19" s="1"/>
  <c r="AK23" i="19"/>
  <c r="AI23" i="19"/>
  <c r="AH23" i="19"/>
  <c r="AM23" i="19"/>
  <c r="V23" i="19"/>
  <c r="AX22" i="19"/>
  <c r="AY22" i="19" s="1"/>
  <c r="AR22" i="19"/>
  <c r="T22" i="19"/>
  <c r="AQ22" i="19"/>
  <c r="S22" i="19" s="1"/>
  <c r="AP22" i="19"/>
  <c r="R22" i="19"/>
  <c r="AO22" i="19"/>
  <c r="Q22" i="19" s="1"/>
  <c r="AL22" i="19"/>
  <c r="AK22" i="19"/>
  <c r="AN22" i="19"/>
  <c r="W22" i="19" s="1"/>
  <c r="AI22" i="19"/>
  <c r="AH22" i="19"/>
  <c r="AX21" i="19"/>
  <c r="AY21" i="19" s="1"/>
  <c r="AW22" i="19"/>
  <c r="AR21" i="19"/>
  <c r="T21" i="19"/>
  <c r="AQ21" i="19"/>
  <c r="S21" i="19"/>
  <c r="AP21" i="19"/>
  <c r="R21" i="19"/>
  <c r="AO21" i="19"/>
  <c r="Q21" i="19"/>
  <c r="AL21" i="19"/>
  <c r="AK21" i="19"/>
  <c r="AI21" i="19"/>
  <c r="AJ21" i="19"/>
  <c r="AH21" i="19"/>
  <c r="AX20" i="19"/>
  <c r="AY20" i="19" s="1"/>
  <c r="AW21" i="19"/>
  <c r="AR20" i="19"/>
  <c r="T20" i="19"/>
  <c r="AQ20" i="19"/>
  <c r="S20" i="19"/>
  <c r="AP20" i="19"/>
  <c r="R20" i="19"/>
  <c r="AO20" i="19"/>
  <c r="Q20" i="19"/>
  <c r="AL20" i="19"/>
  <c r="AK20" i="19"/>
  <c r="AI20" i="19"/>
  <c r="AJ20" i="19"/>
  <c r="AH20" i="19"/>
  <c r="AX19" i="19"/>
  <c r="AY19" i="19" s="1"/>
  <c r="AW20" i="19"/>
  <c r="AR19" i="19"/>
  <c r="T19" i="19"/>
  <c r="AQ19" i="19"/>
  <c r="S19" i="19"/>
  <c r="AP19" i="19"/>
  <c r="R19" i="19"/>
  <c r="AO19" i="19"/>
  <c r="Q19" i="19"/>
  <c r="AL19" i="19"/>
  <c r="AK19" i="19"/>
  <c r="AN19" i="19" s="1"/>
  <c r="W19" i="19" s="1"/>
  <c r="AI19" i="19"/>
  <c r="AH19" i="19"/>
  <c r="AX18" i="19"/>
  <c r="AW19" i="19"/>
  <c r="AR18" i="19"/>
  <c r="T18" i="19" s="1"/>
  <c r="AQ18" i="19"/>
  <c r="S18" i="19"/>
  <c r="AP18" i="19"/>
  <c r="R18" i="19" s="1"/>
  <c r="AO18" i="19"/>
  <c r="Q18" i="19"/>
  <c r="AL18" i="19"/>
  <c r="AN18" i="19" s="1"/>
  <c r="W18" i="19" s="1"/>
  <c r="AK18" i="19"/>
  <c r="AI18" i="19"/>
  <c r="AJ18" i="19" s="1"/>
  <c r="AH18" i="19"/>
  <c r="AX17" i="19"/>
  <c r="AY17" i="19"/>
  <c r="AW18" i="19"/>
  <c r="AR17" i="19"/>
  <c r="T17" i="19"/>
  <c r="AQ17" i="19"/>
  <c r="S17" i="19" s="1"/>
  <c r="AP17" i="19"/>
  <c r="R17" i="19"/>
  <c r="AO17" i="19"/>
  <c r="Q17" i="19" s="1"/>
  <c r="AL17" i="19"/>
  <c r="AK17" i="19"/>
  <c r="AI17" i="19"/>
  <c r="AJ17" i="19" s="1"/>
  <c r="AH17" i="19"/>
  <c r="AX16" i="19"/>
  <c r="AW17" i="19"/>
  <c r="AR16" i="19"/>
  <c r="T16" i="19" s="1"/>
  <c r="M49" i="19" s="1"/>
  <c r="AQ16" i="19"/>
  <c r="S16" i="19"/>
  <c r="AP16" i="19"/>
  <c r="R16" i="19" s="1"/>
  <c r="AO16" i="19"/>
  <c r="Q16" i="19"/>
  <c r="AL16" i="19"/>
  <c r="AN16" i="19" s="1"/>
  <c r="W16" i="19" s="1"/>
  <c r="AK16" i="19"/>
  <c r="AI16" i="19"/>
  <c r="AH16" i="19"/>
  <c r="AX15" i="19"/>
  <c r="AY15" i="19"/>
  <c r="AW16" i="19"/>
  <c r="AR15" i="19"/>
  <c r="T15" i="19"/>
  <c r="AQ15" i="19"/>
  <c r="S15" i="19" s="1"/>
  <c r="AP15" i="19"/>
  <c r="R15" i="19"/>
  <c r="AO15" i="19"/>
  <c r="Q15" i="19" s="1"/>
  <c r="AL15" i="19"/>
  <c r="AK15" i="19"/>
  <c r="AI15" i="19"/>
  <c r="AH15" i="19"/>
  <c r="AX14" i="19"/>
  <c r="AW15" i="19"/>
  <c r="AR14" i="19"/>
  <c r="T14" i="19" s="1"/>
  <c r="AQ14" i="19"/>
  <c r="S14" i="19"/>
  <c r="AP14" i="19"/>
  <c r="R14" i="19" s="1"/>
  <c r="M47" i="19" s="1"/>
  <c r="AO14" i="19"/>
  <c r="AL14" i="19"/>
  <c r="AK14" i="19"/>
  <c r="AN14" i="19" s="1"/>
  <c r="W14" i="19" s="1"/>
  <c r="AI14" i="19"/>
  <c r="AH14" i="19"/>
  <c r="AJ14" i="19" s="1"/>
  <c r="Q14" i="19"/>
  <c r="AX13" i="19"/>
  <c r="AY13" i="19"/>
  <c r="AW14" i="19"/>
  <c r="AR13" i="19"/>
  <c r="T13" i="19"/>
  <c r="AQ13" i="19"/>
  <c r="S13" i="19" s="1"/>
  <c r="M48" i="19" s="1"/>
  <c r="AP13" i="19"/>
  <c r="R13" i="19"/>
  <c r="AO13" i="19"/>
  <c r="Q13" i="19" s="1"/>
  <c r="AL13" i="19"/>
  <c r="AN13" i="19"/>
  <c r="W13" i="19"/>
  <c r="AK13" i="19"/>
  <c r="AI13" i="19"/>
  <c r="AH13" i="19"/>
  <c r="AX12" i="19"/>
  <c r="AW13" i="19"/>
  <c r="AR12" i="19"/>
  <c r="T12" i="19"/>
  <c r="AQ12" i="19"/>
  <c r="S12" i="19"/>
  <c r="AP12" i="19"/>
  <c r="R12" i="19"/>
  <c r="AO12" i="19"/>
  <c r="Q12" i="19"/>
  <c r="AL12" i="19"/>
  <c r="AK12" i="19"/>
  <c r="AI12" i="19"/>
  <c r="AH12" i="19"/>
  <c r="AJ12" i="19" s="1"/>
  <c r="AX11" i="19"/>
  <c r="AW12" i="19"/>
  <c r="AR11" i="19"/>
  <c r="T11" i="19" s="1"/>
  <c r="AQ11" i="19"/>
  <c r="S11" i="19"/>
  <c r="AP11" i="19"/>
  <c r="R11" i="19" s="1"/>
  <c r="AO11" i="19"/>
  <c r="Q11" i="19"/>
  <c r="AL11" i="19"/>
  <c r="AN11" i="19" s="1"/>
  <c r="W11" i="19" s="1"/>
  <c r="AK11" i="19"/>
  <c r="AI11" i="19"/>
  <c r="AH11" i="19"/>
  <c r="AM11" i="19"/>
  <c r="V11" i="19"/>
  <c r="AX10" i="19"/>
  <c r="AY10" i="19" s="1"/>
  <c r="AW10" i="19"/>
  <c r="AR10" i="19"/>
  <c r="T10" i="19"/>
  <c r="AQ10" i="19"/>
  <c r="S10" i="19"/>
  <c r="AP10" i="19"/>
  <c r="R10" i="19"/>
  <c r="AO10" i="19"/>
  <c r="Q10" i="19"/>
  <c r="AL10" i="19"/>
  <c r="AN10" i="19"/>
  <c r="W10" i="19" s="1"/>
  <c r="AK10" i="19"/>
  <c r="AI10" i="19"/>
  <c r="AH10" i="19"/>
  <c r="AX9" i="19"/>
  <c r="AW9" i="19"/>
  <c r="AR9" i="19"/>
  <c r="T9" i="19" s="1"/>
  <c r="AQ9" i="19"/>
  <c r="S9" i="19"/>
  <c r="AP9" i="19"/>
  <c r="R9" i="19" s="1"/>
  <c r="AO9" i="19"/>
  <c r="Q9" i="19"/>
  <c r="AL9" i="19"/>
  <c r="AN9" i="19" s="1"/>
  <c r="W9" i="19" s="1"/>
  <c r="AK9" i="19"/>
  <c r="AI9" i="19"/>
  <c r="AH9" i="19"/>
  <c r="AM9" i="19"/>
  <c r="V9" i="19"/>
  <c r="AW8" i="19"/>
  <c r="AR8" i="19"/>
  <c r="T8" i="19"/>
  <c r="AQ8" i="19"/>
  <c r="S8" i="19"/>
  <c r="AP8" i="19"/>
  <c r="R8" i="19"/>
  <c r="AO8" i="19"/>
  <c r="Q8" i="19"/>
  <c r="AL8" i="19"/>
  <c r="AK8" i="19"/>
  <c r="AI8" i="19"/>
  <c r="AH8" i="19"/>
  <c r="AJ8" i="19" s="1"/>
  <c r="D3" i="19"/>
  <c r="AB59" i="18"/>
  <c r="M53" i="18"/>
  <c r="S53" i="18" s="1"/>
  <c r="AK48" i="18"/>
  <c r="AW48" i="18"/>
  <c r="AW47" i="18"/>
  <c r="AM46" i="18"/>
  <c r="AW46" i="18"/>
  <c r="AW45" i="18"/>
  <c r="AQ44" i="18"/>
  <c r="AM44" i="18"/>
  <c r="AW44" i="18"/>
  <c r="AW43" i="18"/>
  <c r="AW42" i="18"/>
  <c r="AW41" i="18"/>
  <c r="AW40" i="18"/>
  <c r="AR38" i="18"/>
  <c r="T38" i="18" s="1"/>
  <c r="AQ38" i="18"/>
  <c r="S38" i="18"/>
  <c r="AP38" i="18"/>
  <c r="R38" i="18" s="1"/>
  <c r="AO38" i="18"/>
  <c r="Q38" i="18"/>
  <c r="AL38" i="18"/>
  <c r="AN38" i="18" s="1"/>
  <c r="W38" i="18" s="1"/>
  <c r="AK38" i="18"/>
  <c r="AI38" i="18"/>
  <c r="AJ38" i="18" s="1"/>
  <c r="AH38" i="18"/>
  <c r="AR37" i="18"/>
  <c r="T37" i="18"/>
  <c r="AQ37" i="18"/>
  <c r="S37" i="18"/>
  <c r="AP37" i="18"/>
  <c r="R37" i="18"/>
  <c r="AO37" i="18"/>
  <c r="Q37" i="18"/>
  <c r="AL37" i="18"/>
  <c r="AK37" i="18"/>
  <c r="AN37" i="18" s="1"/>
  <c r="W37" i="18"/>
  <c r="AI37" i="18"/>
  <c r="AH37" i="18"/>
  <c r="AM37" i="18" s="1"/>
  <c r="V37" i="18" s="1"/>
  <c r="AR36" i="18"/>
  <c r="T36" i="18" s="1"/>
  <c r="AQ36" i="18"/>
  <c r="S36" i="18"/>
  <c r="AP36" i="18"/>
  <c r="R36" i="18" s="1"/>
  <c r="AO36" i="18"/>
  <c r="Q36" i="18"/>
  <c r="AL36" i="18"/>
  <c r="AN36" i="18" s="1"/>
  <c r="W36" i="18" s="1"/>
  <c r="AK36" i="18"/>
  <c r="AI36" i="18"/>
  <c r="AJ36" i="18" s="1"/>
  <c r="AH36" i="18"/>
  <c r="AW36" i="18"/>
  <c r="AR35" i="18"/>
  <c r="T35" i="18"/>
  <c r="AQ35" i="18"/>
  <c r="S35" i="18"/>
  <c r="AP35" i="18"/>
  <c r="R35" i="18"/>
  <c r="AO35" i="18"/>
  <c r="Q35" i="18"/>
  <c r="AL35" i="18"/>
  <c r="AN35" i="18"/>
  <c r="W35" i="18" s="1"/>
  <c r="AK35" i="18"/>
  <c r="AI35" i="18"/>
  <c r="AH35" i="18"/>
  <c r="AM35" i="18" s="1"/>
  <c r="V35" i="18" s="1"/>
  <c r="AW35" i="18"/>
  <c r="AR34" i="18"/>
  <c r="T34" i="18" s="1"/>
  <c r="AQ34" i="18"/>
  <c r="S34" i="18"/>
  <c r="AP34" i="18"/>
  <c r="R34" i="18" s="1"/>
  <c r="AO34" i="18"/>
  <c r="Q34" i="18"/>
  <c r="AL34" i="18"/>
  <c r="AK34" i="18"/>
  <c r="AM34" i="18"/>
  <c r="V34" i="18"/>
  <c r="AI34" i="18"/>
  <c r="AH34" i="18"/>
  <c r="AW34" i="18"/>
  <c r="AR33" i="18"/>
  <c r="T33" i="18"/>
  <c r="AQ33" i="18"/>
  <c r="S33" i="18"/>
  <c r="AP33" i="18"/>
  <c r="R33" i="18"/>
  <c r="AO33" i="18"/>
  <c r="AL33" i="18"/>
  <c r="AK33" i="18"/>
  <c r="AN33" i="18"/>
  <c r="W33" i="18" s="1"/>
  <c r="AI33" i="18"/>
  <c r="AH33" i="18"/>
  <c r="Q33" i="18"/>
  <c r="AW33" i="18"/>
  <c r="AR32" i="18"/>
  <c r="T32" i="18"/>
  <c r="AQ32" i="18"/>
  <c r="S32" i="18"/>
  <c r="AP32" i="18"/>
  <c r="R32" i="18"/>
  <c r="AO32" i="18"/>
  <c r="Q32" i="18"/>
  <c r="AL32" i="18"/>
  <c r="AK32" i="18"/>
  <c r="AN32" i="18" s="1"/>
  <c r="W32" i="18" s="1"/>
  <c r="AI32" i="18"/>
  <c r="AH32" i="18"/>
  <c r="AJ32" i="18"/>
  <c r="AM32" i="18"/>
  <c r="V32" i="18" s="1"/>
  <c r="AW32" i="18"/>
  <c r="AR31" i="18"/>
  <c r="T31" i="18"/>
  <c r="AQ31" i="18"/>
  <c r="S31" i="18"/>
  <c r="AP31" i="18"/>
  <c r="R31" i="18"/>
  <c r="AO31" i="18"/>
  <c r="Q31" i="18"/>
  <c r="AL31" i="18"/>
  <c r="AK31" i="18"/>
  <c r="AN31" i="18" s="1"/>
  <c r="W31" i="18" s="1"/>
  <c r="AI31" i="18"/>
  <c r="AH31" i="18"/>
  <c r="AJ31" i="18" s="1"/>
  <c r="AW31" i="18"/>
  <c r="AR30" i="18"/>
  <c r="T30" i="18"/>
  <c r="AQ30" i="18"/>
  <c r="S30" i="18"/>
  <c r="AP30" i="18"/>
  <c r="R30" i="18"/>
  <c r="AO30" i="18"/>
  <c r="Q30" i="18"/>
  <c r="AL30" i="18"/>
  <c r="AK30" i="18"/>
  <c r="AN30" i="18" s="1"/>
  <c r="W30" i="18" s="1"/>
  <c r="AI30" i="18"/>
  <c r="AH30" i="18"/>
  <c r="AJ30" i="18" s="1"/>
  <c r="AX29" i="18"/>
  <c r="AY29" i="18"/>
  <c r="AW30" i="18"/>
  <c r="AR29" i="18"/>
  <c r="T29" i="18"/>
  <c r="AQ29" i="18"/>
  <c r="S29" i="18"/>
  <c r="AP29" i="18"/>
  <c r="R29" i="18"/>
  <c r="AO29" i="18"/>
  <c r="Q29" i="18" s="1"/>
  <c r="AL29" i="18"/>
  <c r="AN29" i="18" s="1"/>
  <c r="W29" i="18" s="1"/>
  <c r="AK29" i="18"/>
  <c r="AI29" i="18"/>
  <c r="AH29" i="18"/>
  <c r="AX28" i="18"/>
  <c r="AY28" i="18"/>
  <c r="AW29" i="18"/>
  <c r="AR28" i="18"/>
  <c r="T28" i="18"/>
  <c r="AQ28" i="18"/>
  <c r="S28" i="18" s="1"/>
  <c r="AP28" i="18"/>
  <c r="R28" i="18"/>
  <c r="AO28" i="18"/>
  <c r="Q28" i="18" s="1"/>
  <c r="AL28" i="18"/>
  <c r="AK28" i="18"/>
  <c r="AN28" i="18"/>
  <c r="W28" i="18" s="1"/>
  <c r="AI28" i="18"/>
  <c r="AH28" i="18"/>
  <c r="AM28" i="18"/>
  <c r="V28" i="18" s="1"/>
  <c r="AX27" i="18"/>
  <c r="AY27" i="18"/>
  <c r="AW28" i="18"/>
  <c r="AR27" i="18"/>
  <c r="T27" i="18"/>
  <c r="AQ27" i="18"/>
  <c r="S27" i="18"/>
  <c r="AP27" i="18"/>
  <c r="R27" i="18"/>
  <c r="AO27" i="18"/>
  <c r="AL27" i="18"/>
  <c r="AK27" i="18"/>
  <c r="AI27" i="18"/>
  <c r="AJ27" i="18" s="1"/>
  <c r="AH27" i="18"/>
  <c r="Q27" i="18"/>
  <c r="AX26" i="18"/>
  <c r="AY26" i="18"/>
  <c r="AW27" i="18"/>
  <c r="AR26" i="18"/>
  <c r="T26" i="18" s="1"/>
  <c r="AQ26" i="18"/>
  <c r="S26" i="18"/>
  <c r="AP26" i="18"/>
  <c r="R26" i="18" s="1"/>
  <c r="AO26" i="18"/>
  <c r="Q26" i="18"/>
  <c r="AL26" i="18"/>
  <c r="AK26" i="18"/>
  <c r="AI26" i="18"/>
  <c r="AH26" i="18"/>
  <c r="AX25" i="18"/>
  <c r="AY25" i="18"/>
  <c r="AW26" i="18"/>
  <c r="AR25" i="18"/>
  <c r="T25" i="18"/>
  <c r="AQ25" i="18"/>
  <c r="S25" i="18" s="1"/>
  <c r="AP25" i="18"/>
  <c r="R25" i="18"/>
  <c r="AO25" i="18"/>
  <c r="Q25" i="18" s="1"/>
  <c r="AL25" i="18"/>
  <c r="AK25" i="18"/>
  <c r="AN25" i="18"/>
  <c r="W25" i="18" s="1"/>
  <c r="AI25" i="18"/>
  <c r="AH25" i="18"/>
  <c r="AJ25" i="18"/>
  <c r="AX24" i="18"/>
  <c r="AY24" i="18"/>
  <c r="AR24" i="18"/>
  <c r="T24" i="18"/>
  <c r="AQ24" i="18"/>
  <c r="S24" i="18"/>
  <c r="AP24" i="18"/>
  <c r="R24" i="18"/>
  <c r="AO24" i="18"/>
  <c r="Q24" i="18"/>
  <c r="AL24" i="18"/>
  <c r="AK24" i="18"/>
  <c r="AI24" i="18"/>
  <c r="AH24" i="18"/>
  <c r="AM24" i="18" s="1"/>
  <c r="V24" i="18" s="1"/>
  <c r="AX23" i="18"/>
  <c r="AY23" i="18"/>
  <c r="AW24" i="18"/>
  <c r="AR23" i="18"/>
  <c r="T23" i="18" s="1"/>
  <c r="AQ23" i="18"/>
  <c r="S23" i="18"/>
  <c r="AP23" i="18"/>
  <c r="R23" i="18" s="1"/>
  <c r="AO23" i="18"/>
  <c r="Q23" i="18"/>
  <c r="AL23" i="18"/>
  <c r="AN23" i="18" s="1"/>
  <c r="W23" i="18" s="1"/>
  <c r="AK23" i="18"/>
  <c r="AI23" i="18"/>
  <c r="AJ23" i="18" s="1"/>
  <c r="AH23" i="18"/>
  <c r="AX22" i="18"/>
  <c r="AY22" i="18"/>
  <c r="AR22" i="18"/>
  <c r="T22" i="18"/>
  <c r="AQ22" i="18"/>
  <c r="S22" i="18"/>
  <c r="AP22" i="18"/>
  <c r="R22" i="18"/>
  <c r="AO22" i="18"/>
  <c r="Q22" i="18"/>
  <c r="AL22" i="18"/>
  <c r="AK22" i="18"/>
  <c r="AI22" i="18"/>
  <c r="AH22" i="18"/>
  <c r="AX21" i="18"/>
  <c r="AY21" i="18"/>
  <c r="AW22" i="18"/>
  <c r="AR21" i="18"/>
  <c r="T21" i="18"/>
  <c r="AQ21" i="18"/>
  <c r="S21" i="18" s="1"/>
  <c r="AP21" i="18"/>
  <c r="R21" i="18"/>
  <c r="AO21" i="18"/>
  <c r="Q21" i="18" s="1"/>
  <c r="AL21" i="18"/>
  <c r="AK21" i="18"/>
  <c r="AN21" i="18"/>
  <c r="W21" i="18" s="1"/>
  <c r="AI21" i="18"/>
  <c r="AH21" i="18"/>
  <c r="AJ21" i="18" s="1"/>
  <c r="AX20" i="18"/>
  <c r="AY20" i="18"/>
  <c r="AW21" i="18"/>
  <c r="AR20" i="18"/>
  <c r="T20" i="18" s="1"/>
  <c r="AQ20" i="18"/>
  <c r="S20" i="18"/>
  <c r="AP20" i="18"/>
  <c r="R20" i="18" s="1"/>
  <c r="AO20" i="18"/>
  <c r="Q20" i="18"/>
  <c r="AL20" i="18"/>
  <c r="AN20" i="18" s="1"/>
  <c r="W20" i="18" s="1"/>
  <c r="AK20" i="18"/>
  <c r="AI20" i="18"/>
  <c r="AH20" i="18"/>
  <c r="AM20" i="18"/>
  <c r="V20" i="18"/>
  <c r="AX19" i="18"/>
  <c r="AY19" i="18" s="1"/>
  <c r="AW20" i="18"/>
  <c r="AR19" i="18"/>
  <c r="T19" i="18"/>
  <c r="AQ19" i="18"/>
  <c r="S19" i="18"/>
  <c r="AP19" i="18"/>
  <c r="R19" i="18"/>
  <c r="AO19" i="18"/>
  <c r="Q19" i="18"/>
  <c r="AL19" i="18"/>
  <c r="AK19" i="18"/>
  <c r="AN19" i="18" s="1"/>
  <c r="W19" i="18" s="1"/>
  <c r="AI19" i="18"/>
  <c r="AH19" i="18"/>
  <c r="AX18" i="18"/>
  <c r="AW19" i="18"/>
  <c r="AR18" i="18"/>
  <c r="T18" i="18"/>
  <c r="AQ18" i="18"/>
  <c r="AP18" i="18"/>
  <c r="R18" i="18"/>
  <c r="AO18" i="18"/>
  <c r="Q18" i="18" s="1"/>
  <c r="AL18" i="18"/>
  <c r="AN18" i="18"/>
  <c r="W18" i="18"/>
  <c r="AK18" i="18"/>
  <c r="AI18" i="18"/>
  <c r="AH18" i="18"/>
  <c r="AJ18" i="18"/>
  <c r="S18" i="18"/>
  <c r="AX17" i="18"/>
  <c r="AY17" i="18"/>
  <c r="AW18" i="18"/>
  <c r="AR17" i="18"/>
  <c r="T17" i="18"/>
  <c r="AQ17" i="18"/>
  <c r="AP17" i="18"/>
  <c r="R17" i="18" s="1"/>
  <c r="AO17" i="18"/>
  <c r="Q17" i="18"/>
  <c r="AL17" i="18"/>
  <c r="AN17" i="18" s="1"/>
  <c r="W17" i="18" s="1"/>
  <c r="AK17" i="18"/>
  <c r="AI17" i="18"/>
  <c r="AJ17" i="18" s="1"/>
  <c r="AH17" i="18"/>
  <c r="S17" i="18"/>
  <c r="AX16" i="18"/>
  <c r="AW17" i="18"/>
  <c r="AR16" i="18"/>
  <c r="AQ16" i="18"/>
  <c r="S16" i="18" s="1"/>
  <c r="AP16" i="18"/>
  <c r="R16" i="18"/>
  <c r="AO16" i="18"/>
  <c r="Q16" i="18" s="1"/>
  <c r="AL16" i="18"/>
  <c r="AK16" i="18"/>
  <c r="AI16" i="18"/>
  <c r="AJ16" i="18" s="1"/>
  <c r="AH16" i="18"/>
  <c r="T16" i="18"/>
  <c r="AX15" i="18"/>
  <c r="AY15" i="18" s="1"/>
  <c r="AW16" i="18"/>
  <c r="AR15" i="18"/>
  <c r="T15" i="18"/>
  <c r="AQ15" i="18"/>
  <c r="S15" i="18"/>
  <c r="AP15" i="18"/>
  <c r="R15" i="18"/>
  <c r="AO15" i="18"/>
  <c r="Q15" i="18"/>
  <c r="AL15" i="18"/>
  <c r="AK15" i="18"/>
  <c r="AN15" i="18" s="1"/>
  <c r="W15" i="18" s="1"/>
  <c r="AI15" i="18"/>
  <c r="AH15" i="18"/>
  <c r="AX14" i="18"/>
  <c r="AW15" i="18"/>
  <c r="AR14" i="18"/>
  <c r="T14" i="18"/>
  <c r="AQ14" i="18"/>
  <c r="S14" i="18"/>
  <c r="AP14" i="18"/>
  <c r="R14" i="18"/>
  <c r="AO14" i="18"/>
  <c r="Q14" i="18"/>
  <c r="R47" i="18" s="1"/>
  <c r="AL14" i="18"/>
  <c r="AK14" i="18"/>
  <c r="AN14" i="18" s="1"/>
  <c r="W14" i="18" s="1"/>
  <c r="AI14" i="18"/>
  <c r="AH14" i="18"/>
  <c r="AX13" i="18"/>
  <c r="AW14" i="18"/>
  <c r="AR13" i="18"/>
  <c r="T13" i="18" s="1"/>
  <c r="AQ13" i="18"/>
  <c r="S13" i="18"/>
  <c r="AP13" i="18"/>
  <c r="R13" i="18" s="1"/>
  <c r="AO13" i="18"/>
  <c r="Q13" i="18"/>
  <c r="AL13" i="18"/>
  <c r="AN13" i="18" s="1"/>
  <c r="W13" i="18" s="1"/>
  <c r="AK13" i="18"/>
  <c r="AI13" i="18"/>
  <c r="AJ13" i="18" s="1"/>
  <c r="AH13" i="18"/>
  <c r="AX12" i="18"/>
  <c r="AW13" i="18"/>
  <c r="AR12" i="18"/>
  <c r="T12" i="18" s="1"/>
  <c r="AQ12" i="18"/>
  <c r="S12" i="18"/>
  <c r="AP12" i="18"/>
  <c r="R12" i="18" s="1"/>
  <c r="AO12" i="18"/>
  <c r="Q12" i="18"/>
  <c r="AL12" i="18"/>
  <c r="AN12" i="18" s="1"/>
  <c r="W12" i="18" s="1"/>
  <c r="AK12" i="18"/>
  <c r="AI12" i="18"/>
  <c r="AJ12" i="18" s="1"/>
  <c r="AH12" i="18"/>
  <c r="AM12" i="18"/>
  <c r="V12" i="18"/>
  <c r="AX11" i="18"/>
  <c r="AW12" i="18"/>
  <c r="AR11" i="18"/>
  <c r="T11" i="18"/>
  <c r="AQ11" i="18"/>
  <c r="S11" i="18"/>
  <c r="AP11" i="18"/>
  <c r="R11" i="18"/>
  <c r="AO11" i="18"/>
  <c r="AL11" i="18"/>
  <c r="AK11" i="18"/>
  <c r="AN11" i="18"/>
  <c r="W11" i="18" s="1"/>
  <c r="AI11" i="18"/>
  <c r="AH11" i="18"/>
  <c r="AJ11" i="18"/>
  <c r="Q11" i="18"/>
  <c r="AX10" i="18"/>
  <c r="AW10" i="18"/>
  <c r="AR10" i="18"/>
  <c r="T10" i="18"/>
  <c r="AQ10" i="18"/>
  <c r="S10" i="18"/>
  <c r="AP10" i="18"/>
  <c r="R10" i="18"/>
  <c r="AO10" i="18"/>
  <c r="Q10" i="18"/>
  <c r="AL10" i="18"/>
  <c r="AK10" i="18"/>
  <c r="AM10" i="18"/>
  <c r="V10" i="18"/>
  <c r="AI10" i="18"/>
  <c r="AH10" i="18"/>
  <c r="AX9" i="18"/>
  <c r="AW9" i="18"/>
  <c r="AR9" i="18"/>
  <c r="T9" i="18"/>
  <c r="AQ9" i="18"/>
  <c r="S9" i="18"/>
  <c r="AP9" i="18"/>
  <c r="R9" i="18"/>
  <c r="AO9" i="18"/>
  <c r="Q9" i="18"/>
  <c r="AL9" i="18"/>
  <c r="AK9" i="18"/>
  <c r="AI9" i="18"/>
  <c r="AH9" i="18"/>
  <c r="AM9" i="18" s="1"/>
  <c r="V9" i="18" s="1"/>
  <c r="AW8" i="18"/>
  <c r="AR8" i="18"/>
  <c r="T8" i="18"/>
  <c r="AQ8" i="18"/>
  <c r="S8" i="18" s="1"/>
  <c r="AP8" i="18"/>
  <c r="R8" i="18"/>
  <c r="AO8" i="18"/>
  <c r="Q8" i="18" s="1"/>
  <c r="AL8" i="18"/>
  <c r="AK8" i="18"/>
  <c r="AM8" i="18"/>
  <c r="V8" i="18" s="1"/>
  <c r="AI8" i="18"/>
  <c r="AH8" i="18"/>
  <c r="D3" i="18"/>
  <c r="AB56" i="17"/>
  <c r="AK45" i="17"/>
  <c r="AW45" i="17"/>
  <c r="AW44" i="17"/>
  <c r="AM43" i="17"/>
  <c r="AW43" i="17"/>
  <c r="AW42" i="17"/>
  <c r="AQ41" i="17"/>
  <c r="AQ43" i="17" s="1"/>
  <c r="AM41" i="17"/>
  <c r="AW41" i="17"/>
  <c r="AW40" i="17"/>
  <c r="AW39" i="17"/>
  <c r="AW38" i="17"/>
  <c r="AW36" i="17"/>
  <c r="AR35" i="17"/>
  <c r="T35" i="17" s="1"/>
  <c r="AQ35" i="17"/>
  <c r="S35" i="17"/>
  <c r="AP35" i="17"/>
  <c r="R35" i="17" s="1"/>
  <c r="AO35" i="17"/>
  <c r="Q35" i="17"/>
  <c r="AL35" i="17"/>
  <c r="AN35" i="17" s="1"/>
  <c r="W35" i="17" s="1"/>
  <c r="AK35" i="17"/>
  <c r="AI35" i="17"/>
  <c r="AJ35" i="17" s="1"/>
  <c r="AH35" i="17"/>
  <c r="AW35" i="17"/>
  <c r="AR34" i="17"/>
  <c r="T34" i="17" s="1"/>
  <c r="AQ34" i="17"/>
  <c r="S34" i="17"/>
  <c r="AP34" i="17"/>
  <c r="R34" i="17" s="1"/>
  <c r="M46" i="17" s="1"/>
  <c r="AO34" i="17"/>
  <c r="Q34" i="17"/>
  <c r="AL34" i="17"/>
  <c r="AN34" i="17" s="1"/>
  <c r="W34" i="17" s="1"/>
  <c r="AK34" i="17"/>
  <c r="AI34" i="17"/>
  <c r="AH34" i="17"/>
  <c r="AM34" i="17"/>
  <c r="V34" i="17"/>
  <c r="AW34" i="17"/>
  <c r="AR33" i="17"/>
  <c r="T33" i="17"/>
  <c r="AQ33" i="17"/>
  <c r="S33" i="17"/>
  <c r="AP33" i="17"/>
  <c r="R33" i="17"/>
  <c r="AO33" i="17"/>
  <c r="Q33" i="17"/>
  <c r="AL33" i="17"/>
  <c r="AK33" i="17"/>
  <c r="AN33" i="17"/>
  <c r="W33" i="17"/>
  <c r="AI33" i="17"/>
  <c r="AH33" i="17"/>
  <c r="AJ33" i="17"/>
  <c r="AW33" i="17"/>
  <c r="AR32" i="17"/>
  <c r="T32" i="17"/>
  <c r="AQ32" i="17"/>
  <c r="S32" i="17"/>
  <c r="AP32" i="17"/>
  <c r="R32" i="17"/>
  <c r="AO32" i="17"/>
  <c r="Q32" i="17"/>
  <c r="AL32" i="17"/>
  <c r="AK32" i="17"/>
  <c r="AI32" i="17"/>
  <c r="AH32" i="17"/>
  <c r="AW32" i="17"/>
  <c r="AR31" i="17"/>
  <c r="T31" i="17" s="1"/>
  <c r="AQ31" i="17"/>
  <c r="S31" i="17"/>
  <c r="AP31" i="17"/>
  <c r="R31" i="17" s="1"/>
  <c r="AO31" i="17"/>
  <c r="Q31" i="17"/>
  <c r="AL31" i="17"/>
  <c r="AN31" i="17" s="1"/>
  <c r="W31" i="17" s="1"/>
  <c r="AK31" i="17"/>
  <c r="AI31" i="17"/>
  <c r="AH31" i="17"/>
  <c r="AM31" i="17"/>
  <c r="V31" i="17"/>
  <c r="AW31" i="17"/>
  <c r="AR30" i="17"/>
  <c r="T30" i="17"/>
  <c r="AQ30" i="17"/>
  <c r="S30" i="17"/>
  <c r="AP30" i="17"/>
  <c r="R30" i="17"/>
  <c r="AO30" i="17"/>
  <c r="Q30" i="17"/>
  <c r="AL30" i="17"/>
  <c r="AK30" i="17"/>
  <c r="AN30" i="17"/>
  <c r="W30" i="17"/>
  <c r="AI30" i="17"/>
  <c r="AH30" i="17"/>
  <c r="AJ30" i="17"/>
  <c r="AX29" i="17"/>
  <c r="AY29" i="17" s="1"/>
  <c r="AW30" i="17"/>
  <c r="AR29" i="17"/>
  <c r="T29" i="17"/>
  <c r="AQ29" i="17"/>
  <c r="S29" i="17"/>
  <c r="AP29" i="17"/>
  <c r="R29" i="17"/>
  <c r="AO29" i="17"/>
  <c r="Q29" i="17" s="1"/>
  <c r="AL29" i="17"/>
  <c r="AK29" i="17"/>
  <c r="AI29" i="17"/>
  <c r="AH29" i="17"/>
  <c r="AX28" i="17"/>
  <c r="AY28" i="17"/>
  <c r="AW29" i="17"/>
  <c r="AR28" i="17"/>
  <c r="T28" i="17"/>
  <c r="AQ28" i="17"/>
  <c r="S28" i="17" s="1"/>
  <c r="AP28" i="17"/>
  <c r="R28" i="17"/>
  <c r="AO28" i="17"/>
  <c r="Q28" i="17" s="1"/>
  <c r="AL28" i="17"/>
  <c r="AK28" i="17"/>
  <c r="AN28" i="17"/>
  <c r="W28" i="17" s="1"/>
  <c r="AI28" i="17"/>
  <c r="AH28" i="17"/>
  <c r="AM28" i="17" s="1"/>
  <c r="V28" i="17" s="1"/>
  <c r="AJ28" i="17"/>
  <c r="AX27" i="17"/>
  <c r="AY27" i="17"/>
  <c r="AW28" i="17"/>
  <c r="AR27" i="17"/>
  <c r="T27" i="17"/>
  <c r="AQ27" i="17"/>
  <c r="S27" i="17" s="1"/>
  <c r="AP27" i="17"/>
  <c r="R27" i="17"/>
  <c r="AO27" i="17"/>
  <c r="Q27" i="17" s="1"/>
  <c r="AL27" i="17"/>
  <c r="AN27" i="17"/>
  <c r="W27" i="17"/>
  <c r="AK27" i="17"/>
  <c r="AI27" i="17"/>
  <c r="AH27" i="17"/>
  <c r="AM27" i="17"/>
  <c r="V27" i="17" s="1"/>
  <c r="AX26" i="17"/>
  <c r="AY26" i="17"/>
  <c r="AW27" i="17"/>
  <c r="AR26" i="17"/>
  <c r="T26" i="17"/>
  <c r="AQ26" i="17"/>
  <c r="S26" i="17"/>
  <c r="AP26" i="17"/>
  <c r="R26" i="17"/>
  <c r="AO26" i="17"/>
  <c r="Q26" i="17"/>
  <c r="AL26" i="17"/>
  <c r="AK26" i="17"/>
  <c r="AN26" i="17"/>
  <c r="W26" i="17"/>
  <c r="AI26" i="17"/>
  <c r="AH26" i="17"/>
  <c r="AJ26" i="17"/>
  <c r="AM26" i="17"/>
  <c r="V26" i="17" s="1"/>
  <c r="AX25" i="17"/>
  <c r="AY25" i="17"/>
  <c r="AW26" i="17"/>
  <c r="AR25" i="17"/>
  <c r="T25" i="17"/>
  <c r="AQ25" i="17"/>
  <c r="S25" i="17"/>
  <c r="AP25" i="17"/>
  <c r="R25" i="17"/>
  <c r="AO25" i="17"/>
  <c r="Q25" i="17"/>
  <c r="AL25" i="17"/>
  <c r="AK25" i="17"/>
  <c r="AM25" i="17"/>
  <c r="V25" i="17"/>
  <c r="AI25" i="17"/>
  <c r="AH25" i="17"/>
  <c r="AX24" i="17"/>
  <c r="AY24" i="17"/>
  <c r="AR24" i="17"/>
  <c r="T24" i="17"/>
  <c r="AQ24" i="17"/>
  <c r="S24" i="17"/>
  <c r="AP24" i="17"/>
  <c r="AO24" i="17"/>
  <c r="Q24" i="17"/>
  <c r="AL24" i="17"/>
  <c r="AK24" i="17"/>
  <c r="AI24" i="17"/>
  <c r="AJ24" i="17" s="1"/>
  <c r="AH24" i="17"/>
  <c r="R24" i="17"/>
  <c r="AX23" i="17"/>
  <c r="AY23" i="17"/>
  <c r="AW24" i="17"/>
  <c r="AR23" i="17"/>
  <c r="T23" i="17"/>
  <c r="AQ23" i="17"/>
  <c r="S23" i="17" s="1"/>
  <c r="AP23" i="17"/>
  <c r="R23" i="17"/>
  <c r="AO23" i="17"/>
  <c r="Q23" i="17" s="1"/>
  <c r="AL23" i="17"/>
  <c r="AK23" i="17"/>
  <c r="AN23" i="17"/>
  <c r="W23" i="17" s="1"/>
  <c r="AI23" i="17"/>
  <c r="AH23" i="17"/>
  <c r="AM23" i="17"/>
  <c r="V23" i="17" s="1"/>
  <c r="AX22" i="17"/>
  <c r="AY22" i="17"/>
  <c r="AR22" i="17"/>
  <c r="T22" i="17" s="1"/>
  <c r="AQ22" i="17"/>
  <c r="S22" i="17"/>
  <c r="AP22" i="17"/>
  <c r="R22" i="17"/>
  <c r="AO22" i="17"/>
  <c r="Q22" i="17"/>
  <c r="AL22" i="17"/>
  <c r="AK22" i="17"/>
  <c r="AN22" i="17" s="1"/>
  <c r="W22" i="17" s="1"/>
  <c r="AI22" i="17"/>
  <c r="AH22" i="17"/>
  <c r="AX21" i="17"/>
  <c r="AY21" i="17"/>
  <c r="AW22" i="17"/>
  <c r="AR21" i="17"/>
  <c r="T21" i="17"/>
  <c r="AQ21" i="17"/>
  <c r="S21" i="17" s="1"/>
  <c r="AP21" i="17"/>
  <c r="R21" i="17"/>
  <c r="AO21" i="17"/>
  <c r="Q21" i="17" s="1"/>
  <c r="AL21" i="17"/>
  <c r="AN21" i="17"/>
  <c r="W21" i="17"/>
  <c r="AK21" i="17"/>
  <c r="AI21" i="17"/>
  <c r="AH21" i="17"/>
  <c r="AJ21" i="17" s="1"/>
  <c r="AX20" i="17"/>
  <c r="AY20" i="17"/>
  <c r="AW21" i="17"/>
  <c r="AR20" i="17"/>
  <c r="T20" i="17" s="1"/>
  <c r="AQ20" i="17"/>
  <c r="S20" i="17"/>
  <c r="AP20" i="17"/>
  <c r="R20" i="17"/>
  <c r="AO20" i="17"/>
  <c r="Q20" i="17"/>
  <c r="AL20" i="17"/>
  <c r="AK20" i="17"/>
  <c r="AI20" i="17"/>
  <c r="AH20" i="17"/>
  <c r="AJ20" i="17" s="1"/>
  <c r="AM20" i="17"/>
  <c r="V20" i="17" s="1"/>
  <c r="AX19" i="17"/>
  <c r="AY19" i="17"/>
  <c r="AW20" i="17"/>
  <c r="AR19" i="17"/>
  <c r="T19" i="17"/>
  <c r="AQ19" i="17"/>
  <c r="S19" i="17" s="1"/>
  <c r="AP19" i="17"/>
  <c r="R19" i="17"/>
  <c r="AO19" i="17"/>
  <c r="Q19" i="17" s="1"/>
  <c r="AL19" i="17"/>
  <c r="AK19" i="17"/>
  <c r="AN19" i="17" s="1"/>
  <c r="W19" i="17" s="1"/>
  <c r="AM19" i="17"/>
  <c r="V19" i="17" s="1"/>
  <c r="AI19" i="17"/>
  <c r="AH19" i="17"/>
  <c r="AX18" i="17"/>
  <c r="AW19" i="17"/>
  <c r="AR18" i="17"/>
  <c r="T18" i="17" s="1"/>
  <c r="AQ18" i="17"/>
  <c r="S18" i="17"/>
  <c r="AP18" i="17"/>
  <c r="R18" i="17" s="1"/>
  <c r="AO18" i="17"/>
  <c r="Q18" i="17"/>
  <c r="AL18" i="17"/>
  <c r="AK18" i="17"/>
  <c r="AN18" i="17" s="1"/>
  <c r="W18" i="17" s="1"/>
  <c r="AI18" i="17"/>
  <c r="AJ18" i="17" s="1"/>
  <c r="AH18" i="17"/>
  <c r="AX17" i="17"/>
  <c r="AW18" i="17"/>
  <c r="AR17" i="17"/>
  <c r="T17" i="17"/>
  <c r="AQ17" i="17"/>
  <c r="AP17" i="17"/>
  <c r="R17" i="17" s="1"/>
  <c r="AO17" i="17"/>
  <c r="Q17" i="17"/>
  <c r="AL17" i="17"/>
  <c r="AN17" i="17" s="1"/>
  <c r="W17" i="17" s="1"/>
  <c r="AK17" i="17"/>
  <c r="AI17" i="17"/>
  <c r="AH17" i="17"/>
  <c r="AM17" i="17"/>
  <c r="V17" i="17"/>
  <c r="S17" i="17"/>
  <c r="AX16" i="17"/>
  <c r="AW17" i="17"/>
  <c r="AR16" i="17"/>
  <c r="T16" i="17" s="1"/>
  <c r="AQ16" i="17"/>
  <c r="S16" i="17"/>
  <c r="AP16" i="17"/>
  <c r="R16" i="17" s="1"/>
  <c r="AO16" i="17"/>
  <c r="Q16" i="17"/>
  <c r="AL16" i="17"/>
  <c r="AN16" i="17" s="1"/>
  <c r="W16" i="17" s="1"/>
  <c r="AK16" i="17"/>
  <c r="AI16" i="17"/>
  <c r="AH16" i="17"/>
  <c r="AX15" i="17"/>
  <c r="AY15" i="17"/>
  <c r="AW16" i="17"/>
  <c r="AR15" i="17"/>
  <c r="T15" i="17"/>
  <c r="AQ15" i="17"/>
  <c r="S15" i="17"/>
  <c r="AP15" i="17"/>
  <c r="R15" i="17"/>
  <c r="AO15" i="17"/>
  <c r="Q15" i="17"/>
  <c r="AL15" i="17"/>
  <c r="AK15" i="17"/>
  <c r="AN15" i="17"/>
  <c r="W15" i="17"/>
  <c r="AI15" i="17"/>
  <c r="AH15" i="17"/>
  <c r="AJ15" i="17"/>
  <c r="AX14" i="17"/>
  <c r="AW15" i="17"/>
  <c r="AR14" i="17"/>
  <c r="T14" i="17"/>
  <c r="AQ14" i="17"/>
  <c r="S14" i="17"/>
  <c r="AP14" i="17"/>
  <c r="R14" i="17"/>
  <c r="AO14" i="17"/>
  <c r="Q14" i="17"/>
  <c r="AL14" i="17"/>
  <c r="AK14" i="17"/>
  <c r="AN14" i="17" s="1"/>
  <c r="W14" i="17" s="1"/>
  <c r="AI14" i="17"/>
  <c r="AH14" i="17"/>
  <c r="AJ14" i="17" s="1"/>
  <c r="AX13" i="17"/>
  <c r="AW14" i="17"/>
  <c r="AR13" i="17"/>
  <c r="T13" i="17" s="1"/>
  <c r="AQ13" i="17"/>
  <c r="S13" i="17"/>
  <c r="AP13" i="17"/>
  <c r="R13" i="17" s="1"/>
  <c r="AO13" i="17"/>
  <c r="Q13" i="17"/>
  <c r="AL13" i="17"/>
  <c r="AN13" i="17" s="1"/>
  <c r="W13" i="17" s="1"/>
  <c r="AK13" i="17"/>
  <c r="AI13" i="17"/>
  <c r="AJ13" i="17" s="1"/>
  <c r="AH13" i="17"/>
  <c r="AX12" i="17"/>
  <c r="AW13" i="17"/>
  <c r="AR12" i="17"/>
  <c r="T12" i="17"/>
  <c r="AQ12" i="17"/>
  <c r="S12" i="17"/>
  <c r="AP12" i="17"/>
  <c r="R12" i="17"/>
  <c r="AO12" i="17"/>
  <c r="Q12" i="17"/>
  <c r="AL12" i="17"/>
  <c r="AK12" i="17"/>
  <c r="AI12" i="17"/>
  <c r="AH12" i="17"/>
  <c r="AJ12" i="17" s="1"/>
  <c r="AX11" i="17"/>
  <c r="AW12" i="17"/>
  <c r="AR11" i="17"/>
  <c r="T11" i="17"/>
  <c r="AQ11" i="17"/>
  <c r="S11" i="17"/>
  <c r="AP11" i="17"/>
  <c r="R11" i="17"/>
  <c r="AO11" i="17"/>
  <c r="Q11" i="17"/>
  <c r="AL11" i="17"/>
  <c r="AK11" i="17"/>
  <c r="AI11" i="17"/>
  <c r="AH11" i="17"/>
  <c r="AX10" i="17"/>
  <c r="AY10" i="17" s="1"/>
  <c r="AW10" i="17"/>
  <c r="AR10" i="17"/>
  <c r="T10" i="17"/>
  <c r="AQ10" i="17"/>
  <c r="S10" i="17" s="1"/>
  <c r="AP10" i="17"/>
  <c r="R10" i="17"/>
  <c r="AO10" i="17"/>
  <c r="Q10" i="17" s="1"/>
  <c r="AL10" i="17"/>
  <c r="AK10" i="17"/>
  <c r="AN10" i="17"/>
  <c r="W10" i="17" s="1"/>
  <c r="AI10" i="17"/>
  <c r="AH10" i="17"/>
  <c r="AJ10" i="17"/>
  <c r="AX9" i="17"/>
  <c r="AW9" i="17"/>
  <c r="AR9" i="17"/>
  <c r="T9" i="17"/>
  <c r="AQ9" i="17"/>
  <c r="S9" i="17"/>
  <c r="AP9" i="17"/>
  <c r="R9" i="17"/>
  <c r="AO9" i="17"/>
  <c r="Q9" i="17"/>
  <c r="AL9" i="17"/>
  <c r="AN9" i="17"/>
  <c r="W9" i="17" s="1"/>
  <c r="AK9" i="17"/>
  <c r="AI9" i="17"/>
  <c r="AJ9" i="17"/>
  <c r="AH9" i="17"/>
  <c r="AM9" i="17"/>
  <c r="V9" i="17"/>
  <c r="AW8" i="17"/>
  <c r="T40" i="17" s="1"/>
  <c r="AK40" i="17" s="1"/>
  <c r="AR8" i="17"/>
  <c r="T8" i="17"/>
  <c r="AQ8" i="17"/>
  <c r="S8" i="17"/>
  <c r="AP8" i="17"/>
  <c r="R8" i="17"/>
  <c r="AO8" i="17"/>
  <c r="Q8" i="17"/>
  <c r="AL8" i="17"/>
  <c r="AK8" i="17"/>
  <c r="AI8" i="17"/>
  <c r="AH8" i="17"/>
  <c r="J2" i="3"/>
  <c r="J3" i="3"/>
  <c r="J4" i="3"/>
  <c r="J5" i="3"/>
  <c r="J6" i="3"/>
  <c r="K6" i="3" s="1"/>
  <c r="J7" i="3"/>
  <c r="J8" i="3"/>
  <c r="K8" i="3"/>
  <c r="J9" i="3"/>
  <c r="J10" i="3"/>
  <c r="K10" i="3"/>
  <c r="J11" i="3"/>
  <c r="J12" i="3"/>
  <c r="K12" i="3" s="1"/>
  <c r="J13" i="3"/>
  <c r="K13" i="3"/>
  <c r="J14" i="3"/>
  <c r="K14" i="3" s="1"/>
  <c r="J15" i="3"/>
  <c r="K15" i="3"/>
  <c r="J16" i="3"/>
  <c r="K16" i="3" s="1"/>
  <c r="J17" i="3"/>
  <c r="K17" i="3"/>
  <c r="J18" i="3"/>
  <c r="K18" i="3" s="1"/>
  <c r="J19" i="3"/>
  <c r="K19" i="3"/>
  <c r="J20" i="3"/>
  <c r="K20" i="3" s="1"/>
  <c r="J21" i="3"/>
  <c r="K21" i="3"/>
  <c r="J22" i="3"/>
  <c r="K22" i="3" s="1"/>
  <c r="AB59" i="6"/>
  <c r="AX10" i="6"/>
  <c r="AY10" i="6"/>
  <c r="AX11" i="6"/>
  <c r="AX12" i="6"/>
  <c r="AX13" i="6"/>
  <c r="AX14" i="6"/>
  <c r="AX15" i="6"/>
  <c r="AY15" i="6" s="1"/>
  <c r="AX16" i="6"/>
  <c r="AX17" i="6"/>
  <c r="AY17" i="6" s="1"/>
  <c r="AX18" i="6"/>
  <c r="AX19" i="6"/>
  <c r="AY19" i="6" s="1"/>
  <c r="AX20" i="6"/>
  <c r="AY20" i="6"/>
  <c r="AX21" i="6"/>
  <c r="AY21" i="6" s="1"/>
  <c r="AX22" i="6"/>
  <c r="AY22" i="6"/>
  <c r="AX23" i="6"/>
  <c r="AY23" i="6" s="1"/>
  <c r="AX24" i="6"/>
  <c r="AY24" i="6"/>
  <c r="AX25" i="6"/>
  <c r="AY25" i="6" s="1"/>
  <c r="AX26" i="6"/>
  <c r="AY26" i="6"/>
  <c r="AX27" i="6"/>
  <c r="AY27" i="6" s="1"/>
  <c r="AX28" i="6"/>
  <c r="AY28" i="6"/>
  <c r="AX29" i="6"/>
  <c r="AY29" i="6" s="1"/>
  <c r="AX9" i="6"/>
  <c r="AW48" i="6"/>
  <c r="AW47" i="6"/>
  <c r="AW46" i="6"/>
  <c r="AW45" i="6"/>
  <c r="AW44" i="6"/>
  <c r="AW43" i="6"/>
  <c r="AW42" i="6"/>
  <c r="AW41" i="6"/>
  <c r="AW40" i="6"/>
  <c r="AW36" i="6"/>
  <c r="AW35" i="6"/>
  <c r="AW34" i="6"/>
  <c r="AW33" i="6"/>
  <c r="AW32" i="6"/>
  <c r="AW31" i="6"/>
  <c r="AW30" i="6"/>
  <c r="AW29" i="6"/>
  <c r="AW28" i="6"/>
  <c r="AW27" i="6"/>
  <c r="AW26" i="6"/>
  <c r="AW24" i="6"/>
  <c r="AW22" i="6"/>
  <c r="AW21" i="6"/>
  <c r="AW20" i="6"/>
  <c r="AW19" i="6"/>
  <c r="AW18" i="6"/>
  <c r="AW17" i="6"/>
  <c r="AW16" i="6"/>
  <c r="AW15" i="6"/>
  <c r="AW14" i="6"/>
  <c r="AW13" i="6"/>
  <c r="AW12" i="6"/>
  <c r="AW10" i="6"/>
  <c r="AW9" i="6"/>
  <c r="AW8" i="6"/>
  <c r="M53" i="6"/>
  <c r="S53" i="6"/>
  <c r="AK48" i="6"/>
  <c r="AM46" i="6"/>
  <c r="AQ44" i="6"/>
  <c r="AM44" i="6"/>
  <c r="AR38" i="6"/>
  <c r="T38" i="6"/>
  <c r="AQ38" i="6"/>
  <c r="S38" i="6"/>
  <c r="AP38" i="6"/>
  <c r="R38" i="6"/>
  <c r="AO38" i="6"/>
  <c r="Q38" i="6"/>
  <c r="AL38" i="6"/>
  <c r="AK38" i="6"/>
  <c r="AI38" i="6"/>
  <c r="AH38" i="6"/>
  <c r="AM38" i="6" s="1"/>
  <c r="V38" i="6" s="1"/>
  <c r="AR37" i="6"/>
  <c r="T37" i="6"/>
  <c r="AQ37" i="6"/>
  <c r="S37" i="6"/>
  <c r="AP37" i="6"/>
  <c r="R37" i="6"/>
  <c r="AO37" i="6"/>
  <c r="Q37" i="6"/>
  <c r="AL37" i="6"/>
  <c r="AK37" i="6"/>
  <c r="AI37" i="6"/>
  <c r="AH37" i="6"/>
  <c r="AR36" i="6"/>
  <c r="T36" i="6"/>
  <c r="AQ36" i="6"/>
  <c r="S36" i="6"/>
  <c r="AP36" i="6"/>
  <c r="R36" i="6"/>
  <c r="AO36" i="6"/>
  <c r="Q36" i="6"/>
  <c r="AL36" i="6"/>
  <c r="AK36" i="6"/>
  <c r="AI36" i="6"/>
  <c r="AH36" i="6"/>
  <c r="AR35" i="6"/>
  <c r="T35" i="6"/>
  <c r="AQ35" i="6"/>
  <c r="S35" i="6"/>
  <c r="AP35" i="6"/>
  <c r="R35" i="6"/>
  <c r="AO35" i="6"/>
  <c r="Q35" i="6"/>
  <c r="AL35" i="6"/>
  <c r="AK35" i="6"/>
  <c r="AI35" i="6"/>
  <c r="AJ35" i="6"/>
  <c r="AH35" i="6"/>
  <c r="AM35" i="6"/>
  <c r="V35" i="6"/>
  <c r="AR34" i="6"/>
  <c r="T34" i="6" s="1"/>
  <c r="AQ34" i="6"/>
  <c r="S34" i="6"/>
  <c r="AP34" i="6"/>
  <c r="R34" i="6" s="1"/>
  <c r="AO34" i="6"/>
  <c r="Q34" i="6"/>
  <c r="AL34" i="6"/>
  <c r="AN34" i="6" s="1"/>
  <c r="W34" i="6" s="1"/>
  <c r="AK34" i="6"/>
  <c r="AI34" i="6"/>
  <c r="AH34" i="6"/>
  <c r="AR33" i="6"/>
  <c r="T33" i="6" s="1"/>
  <c r="AQ33" i="6"/>
  <c r="S33" i="6"/>
  <c r="AP33" i="6"/>
  <c r="R33" i="6" s="1"/>
  <c r="AO33" i="6"/>
  <c r="Q33" i="6"/>
  <c r="AL33" i="6"/>
  <c r="AN33" i="6" s="1"/>
  <c r="W33" i="6" s="1"/>
  <c r="AK33" i="6"/>
  <c r="AI33" i="6"/>
  <c r="AJ33" i="6" s="1"/>
  <c r="AH33" i="6"/>
  <c r="AR32" i="6"/>
  <c r="T32" i="6"/>
  <c r="AQ32" i="6"/>
  <c r="S32" i="6"/>
  <c r="AP32" i="6"/>
  <c r="R32" i="6"/>
  <c r="AO32" i="6"/>
  <c r="Q32" i="6"/>
  <c r="AL32" i="6"/>
  <c r="AK32" i="6"/>
  <c r="AN32" i="6" s="1"/>
  <c r="W32" i="6" s="1"/>
  <c r="AI32" i="6"/>
  <c r="AH32" i="6"/>
  <c r="AR31" i="6"/>
  <c r="T31" i="6"/>
  <c r="AQ31" i="6"/>
  <c r="S31" i="6"/>
  <c r="AP31" i="6"/>
  <c r="R31" i="6" s="1"/>
  <c r="AO31" i="6"/>
  <c r="Q31" i="6"/>
  <c r="AL31" i="6"/>
  <c r="AK31" i="6"/>
  <c r="AI31" i="6"/>
  <c r="AH31" i="6"/>
  <c r="AR30" i="6"/>
  <c r="T30" i="6" s="1"/>
  <c r="AQ30" i="6"/>
  <c r="S30" i="6"/>
  <c r="AP30" i="6"/>
  <c r="R30" i="6" s="1"/>
  <c r="AO30" i="6"/>
  <c r="Q30" i="6"/>
  <c r="AL30" i="6"/>
  <c r="AK30" i="6"/>
  <c r="AI30" i="6"/>
  <c r="AH30" i="6"/>
  <c r="AR29" i="6"/>
  <c r="T29" i="6" s="1"/>
  <c r="AQ29" i="6"/>
  <c r="S29" i="6"/>
  <c r="AP29" i="6"/>
  <c r="R29" i="6" s="1"/>
  <c r="AO29" i="6"/>
  <c r="Q29" i="6"/>
  <c r="AL29" i="6"/>
  <c r="AK29" i="6"/>
  <c r="AI29" i="6"/>
  <c r="AH29" i="6"/>
  <c r="AJ29" i="6" s="1"/>
  <c r="AR28" i="6"/>
  <c r="T28" i="6" s="1"/>
  <c r="AQ28" i="6"/>
  <c r="S28" i="6"/>
  <c r="AP28" i="6"/>
  <c r="R28" i="6" s="1"/>
  <c r="AO28" i="6"/>
  <c r="Q28" i="6"/>
  <c r="AL28" i="6"/>
  <c r="AK28" i="6"/>
  <c r="AI28" i="6"/>
  <c r="AH28" i="6"/>
  <c r="AR27" i="6"/>
  <c r="T27" i="6" s="1"/>
  <c r="AQ27" i="6"/>
  <c r="S27" i="6"/>
  <c r="AP27" i="6"/>
  <c r="R27" i="6" s="1"/>
  <c r="AO27" i="6"/>
  <c r="Q27" i="6"/>
  <c r="AL27" i="6"/>
  <c r="AK27" i="6"/>
  <c r="AI27" i="6"/>
  <c r="AH27" i="6"/>
  <c r="AR26" i="6"/>
  <c r="T26" i="6" s="1"/>
  <c r="AQ26" i="6"/>
  <c r="S26" i="6"/>
  <c r="AP26" i="6"/>
  <c r="R26" i="6" s="1"/>
  <c r="R48" i="6" s="1"/>
  <c r="AO26" i="6"/>
  <c r="Q26" i="6"/>
  <c r="AL26" i="6"/>
  <c r="AK26" i="6"/>
  <c r="AI26" i="6"/>
  <c r="AH26" i="6"/>
  <c r="AR25" i="6"/>
  <c r="T25" i="6" s="1"/>
  <c r="AQ25" i="6"/>
  <c r="S25" i="6"/>
  <c r="AP25" i="6"/>
  <c r="R25" i="6" s="1"/>
  <c r="AO25" i="6"/>
  <c r="Q25" i="6"/>
  <c r="AL25" i="6"/>
  <c r="AK25" i="6"/>
  <c r="AI25" i="6"/>
  <c r="AH25" i="6"/>
  <c r="AR24" i="6"/>
  <c r="T24" i="6"/>
  <c r="AQ24" i="6"/>
  <c r="S24" i="6" s="1"/>
  <c r="AP24" i="6"/>
  <c r="R24" i="6"/>
  <c r="AO24" i="6"/>
  <c r="Q24" i="6" s="1"/>
  <c r="AL24" i="6"/>
  <c r="AK24" i="6"/>
  <c r="AI24" i="6"/>
  <c r="AH24" i="6"/>
  <c r="AR23" i="6"/>
  <c r="T23" i="6"/>
  <c r="AQ23" i="6"/>
  <c r="S23" i="6" s="1"/>
  <c r="AP23" i="6"/>
  <c r="R23" i="6"/>
  <c r="AO23" i="6"/>
  <c r="Q23" i="6" s="1"/>
  <c r="AL23" i="6"/>
  <c r="AK23" i="6"/>
  <c r="AN23" i="6"/>
  <c r="W23" i="6" s="1"/>
  <c r="AI23" i="6"/>
  <c r="AH23" i="6"/>
  <c r="AJ23" i="6"/>
  <c r="AR22" i="6"/>
  <c r="T22" i="6" s="1"/>
  <c r="AQ22" i="6"/>
  <c r="S22" i="6"/>
  <c r="AP22" i="6"/>
  <c r="R22" i="6" s="1"/>
  <c r="AO22" i="6"/>
  <c r="Q22" i="6"/>
  <c r="AL22" i="6"/>
  <c r="AK22" i="6"/>
  <c r="AI22" i="6"/>
  <c r="AH22" i="6"/>
  <c r="AJ22" i="6" s="1"/>
  <c r="AR21" i="6"/>
  <c r="T21" i="6"/>
  <c r="AQ21" i="6"/>
  <c r="S21" i="6" s="1"/>
  <c r="AP21" i="6"/>
  <c r="R21" i="6"/>
  <c r="AO21" i="6"/>
  <c r="Q21" i="6" s="1"/>
  <c r="AL21" i="6"/>
  <c r="AK21" i="6"/>
  <c r="AI21" i="6"/>
  <c r="AH21" i="6"/>
  <c r="AR20" i="6"/>
  <c r="T20" i="6"/>
  <c r="AQ20" i="6"/>
  <c r="S20" i="6" s="1"/>
  <c r="AP20" i="6"/>
  <c r="R20" i="6"/>
  <c r="AO20" i="6"/>
  <c r="Q20" i="6" s="1"/>
  <c r="AL20" i="6"/>
  <c r="AK20" i="6"/>
  <c r="AI20" i="6"/>
  <c r="AH20" i="6"/>
  <c r="AJ20" i="6" s="1"/>
  <c r="AR19" i="6"/>
  <c r="T19" i="6"/>
  <c r="AQ19" i="6"/>
  <c r="S19" i="6"/>
  <c r="AP19" i="6"/>
  <c r="R19" i="6"/>
  <c r="AO19" i="6"/>
  <c r="Q19" i="6"/>
  <c r="AL19" i="6"/>
  <c r="AK19" i="6"/>
  <c r="AI19" i="6"/>
  <c r="AH19" i="6"/>
  <c r="AR18" i="6"/>
  <c r="T18" i="6"/>
  <c r="AQ18" i="6"/>
  <c r="S18" i="6"/>
  <c r="AP18" i="6"/>
  <c r="R18" i="6"/>
  <c r="AO18" i="6"/>
  <c r="Q18" i="6"/>
  <c r="AL18" i="6"/>
  <c r="AK18" i="6"/>
  <c r="AI18" i="6"/>
  <c r="AH18" i="6"/>
  <c r="AR17" i="6"/>
  <c r="T17" i="6"/>
  <c r="AQ17" i="6"/>
  <c r="S17" i="6"/>
  <c r="AP17" i="6"/>
  <c r="R17" i="6"/>
  <c r="AO17" i="6"/>
  <c r="Q17" i="6"/>
  <c r="AL17" i="6"/>
  <c r="AK17" i="6"/>
  <c r="AI17" i="6"/>
  <c r="AH17" i="6"/>
  <c r="AR16" i="6"/>
  <c r="T16" i="6"/>
  <c r="AQ16" i="6"/>
  <c r="S16" i="6" s="1"/>
  <c r="AP16" i="6"/>
  <c r="R16" i="6"/>
  <c r="AO16" i="6"/>
  <c r="Q16" i="6" s="1"/>
  <c r="AL16" i="6"/>
  <c r="AK16" i="6"/>
  <c r="AI16" i="6"/>
  <c r="AJ16" i="6"/>
  <c r="AH16" i="6"/>
  <c r="AR15" i="6"/>
  <c r="T15" i="6"/>
  <c r="AQ15" i="6"/>
  <c r="S15" i="6" s="1"/>
  <c r="AP15" i="6"/>
  <c r="R15" i="6"/>
  <c r="AO15" i="6"/>
  <c r="Q15" i="6" s="1"/>
  <c r="AL15" i="6"/>
  <c r="AK15" i="6"/>
  <c r="AM15" i="6" s="1"/>
  <c r="V15" i="6" s="1"/>
  <c r="AI15" i="6"/>
  <c r="AH15" i="6"/>
  <c r="AR14" i="6"/>
  <c r="T14" i="6" s="1"/>
  <c r="AQ14" i="6"/>
  <c r="S14" i="6"/>
  <c r="AP14" i="6"/>
  <c r="R14" i="6" s="1"/>
  <c r="AO14" i="6"/>
  <c r="Q14" i="6"/>
  <c r="AL14" i="6"/>
  <c r="AN14" i="6" s="1"/>
  <c r="AK14" i="6"/>
  <c r="AI14" i="6"/>
  <c r="AH14" i="6"/>
  <c r="AR13" i="6"/>
  <c r="T13" i="6" s="1"/>
  <c r="AQ13" i="6"/>
  <c r="S13" i="6"/>
  <c r="AP13" i="6"/>
  <c r="R13" i="6" s="1"/>
  <c r="AO13" i="6"/>
  <c r="Q13" i="6"/>
  <c r="AL13" i="6"/>
  <c r="AK13" i="6"/>
  <c r="AI13" i="6"/>
  <c r="AH13" i="6"/>
  <c r="AR12" i="6"/>
  <c r="T12" i="6"/>
  <c r="AQ12" i="6"/>
  <c r="S12" i="6" s="1"/>
  <c r="AP12" i="6"/>
  <c r="R12" i="6"/>
  <c r="AO12" i="6"/>
  <c r="Q12" i="6" s="1"/>
  <c r="AL12" i="6"/>
  <c r="AK12" i="6"/>
  <c r="AI12" i="6"/>
  <c r="AH12" i="6"/>
  <c r="AR11" i="6"/>
  <c r="T11" i="6"/>
  <c r="AQ11" i="6"/>
  <c r="S11" i="6" s="1"/>
  <c r="AP11" i="6"/>
  <c r="R11" i="6"/>
  <c r="AO11" i="6"/>
  <c r="Q11" i="6" s="1"/>
  <c r="AL11" i="6"/>
  <c r="AK11" i="6"/>
  <c r="AI11" i="6"/>
  <c r="AH11" i="6"/>
  <c r="AR10" i="6"/>
  <c r="T10" i="6"/>
  <c r="AQ10" i="6"/>
  <c r="S10" i="6" s="1"/>
  <c r="M49" i="6" s="1"/>
  <c r="AP10" i="6"/>
  <c r="R10" i="6"/>
  <c r="AO10" i="6"/>
  <c r="Q10" i="6" s="1"/>
  <c r="AL10" i="6"/>
  <c r="AK10" i="6"/>
  <c r="AI10" i="6"/>
  <c r="AH10" i="6"/>
  <c r="AR9" i="6"/>
  <c r="T9" i="6"/>
  <c r="AQ9" i="6"/>
  <c r="S9" i="6" s="1"/>
  <c r="AP9" i="6"/>
  <c r="R9" i="6"/>
  <c r="AO9" i="6"/>
  <c r="Q9" i="6" s="1"/>
  <c r="AL9" i="6"/>
  <c r="AK9" i="6"/>
  <c r="AN9" i="6"/>
  <c r="W9" i="6" s="1"/>
  <c r="AI9" i="6"/>
  <c r="AH9" i="6"/>
  <c r="AR8" i="6"/>
  <c r="T8" i="6" s="1"/>
  <c r="AQ8" i="6"/>
  <c r="S8" i="6"/>
  <c r="AP8" i="6"/>
  <c r="R8" i="6" s="1"/>
  <c r="AO8" i="6"/>
  <c r="Q8" i="6"/>
  <c r="AL8" i="6"/>
  <c r="AK8" i="6"/>
  <c r="AI8" i="6"/>
  <c r="AH8" i="6"/>
  <c r="M4" i="6"/>
  <c r="M3" i="6"/>
  <c r="D3" i="6"/>
  <c r="E45" i="1"/>
  <c r="G8" i="5"/>
  <c r="AY17" i="24"/>
  <c r="AM24" i="27"/>
  <c r="V24" i="27"/>
  <c r="AJ24" i="27"/>
  <c r="AJ36" i="27"/>
  <c r="AM36" i="27"/>
  <c r="V36" i="27"/>
  <c r="AM25" i="27"/>
  <c r="V25" i="27" s="1"/>
  <c r="AN25" i="27"/>
  <c r="W25" i="27"/>
  <c r="AJ32" i="27"/>
  <c r="AM32" i="27"/>
  <c r="V32" i="27"/>
  <c r="AM28" i="27"/>
  <c r="V28" i="27"/>
  <c r="AM31" i="27"/>
  <c r="V31" i="27"/>
  <c r="AM35" i="27"/>
  <c r="V35" i="27"/>
  <c r="AM20" i="27"/>
  <c r="V20" i="27"/>
  <c r="AM27" i="27"/>
  <c r="V27" i="27"/>
  <c r="AM33" i="27"/>
  <c r="V33" i="27"/>
  <c r="AJ38" i="27"/>
  <c r="AM38" i="27"/>
  <c r="V38" i="27"/>
  <c r="AM25" i="26"/>
  <c r="V25" i="26" s="1"/>
  <c r="AJ34" i="26"/>
  <c r="AM34" i="26"/>
  <c r="V34" i="26"/>
  <c r="AM8" i="26"/>
  <c r="V8" i="26"/>
  <c r="AN19" i="26"/>
  <c r="W19" i="26"/>
  <c r="AN22" i="26"/>
  <c r="W22" i="26"/>
  <c r="AJ30" i="26"/>
  <c r="AN37" i="26"/>
  <c r="W37" i="26" s="1"/>
  <c r="AJ22" i="26"/>
  <c r="AM22" i="26"/>
  <c r="V22" i="26"/>
  <c r="AN30" i="26"/>
  <c r="W30" i="26"/>
  <c r="AM31" i="26"/>
  <c r="V31" i="26"/>
  <c r="AJ35" i="26"/>
  <c r="AM19" i="25"/>
  <c r="V19" i="25"/>
  <c r="AM23" i="25"/>
  <c r="V23" i="25" s="1"/>
  <c r="AJ33" i="25"/>
  <c r="AM33" i="25"/>
  <c r="V33" i="25"/>
  <c r="AM12" i="25"/>
  <c r="V12" i="25"/>
  <c r="AM20" i="25"/>
  <c r="V20" i="25"/>
  <c r="AJ27" i="25"/>
  <c r="AM27" i="25"/>
  <c r="V27" i="25"/>
  <c r="AM24" i="25"/>
  <c r="V24" i="25" s="1"/>
  <c r="AM28" i="25"/>
  <c r="V28" i="25"/>
  <c r="AM38" i="25"/>
  <c r="V38" i="25" s="1"/>
  <c r="AM21" i="24"/>
  <c r="V21" i="24"/>
  <c r="AM10" i="24"/>
  <c r="V10" i="24" s="1"/>
  <c r="AJ35" i="24"/>
  <c r="AJ31" i="24"/>
  <c r="AM31" i="24"/>
  <c r="V31" i="24" s="1"/>
  <c r="AM34" i="24"/>
  <c r="V34" i="24"/>
  <c r="AM37" i="24"/>
  <c r="V37" i="24" s="1"/>
  <c r="M56" i="23"/>
  <c r="AM23" i="23"/>
  <c r="V23" i="23"/>
  <c r="AM21" i="23"/>
  <c r="V21" i="23"/>
  <c r="AM18" i="23"/>
  <c r="V18" i="23"/>
  <c r="AN21" i="23"/>
  <c r="W21" i="23"/>
  <c r="AN22" i="23"/>
  <c r="W22" i="23"/>
  <c r="AJ28" i="23"/>
  <c r="AM28" i="23"/>
  <c r="V28" i="23" s="1"/>
  <c r="AM32" i="23"/>
  <c r="V32" i="23"/>
  <c r="AJ24" i="23"/>
  <c r="AJ27" i="23"/>
  <c r="AN36" i="23"/>
  <c r="W36" i="23" s="1"/>
  <c r="AJ38" i="23"/>
  <c r="AJ17" i="22"/>
  <c r="AJ33" i="22"/>
  <c r="AM33" i="22"/>
  <c r="V33" i="22"/>
  <c r="M56" i="22"/>
  <c r="AJ12" i="22"/>
  <c r="AJ13" i="22"/>
  <c r="AM14" i="22"/>
  <c r="V14" i="22"/>
  <c r="AJ29" i="22"/>
  <c r="AM25" i="22"/>
  <c r="V25" i="22"/>
  <c r="AM30" i="22"/>
  <c r="V30" i="22"/>
  <c r="AJ16" i="22"/>
  <c r="AJ21" i="22"/>
  <c r="AM21" i="22"/>
  <c r="V21" i="22"/>
  <c r="AN28" i="22"/>
  <c r="W28" i="22"/>
  <c r="W24" i="22"/>
  <c r="AN36" i="22"/>
  <c r="W36" i="22"/>
  <c r="AM14" i="21"/>
  <c r="V14" i="21"/>
  <c r="AM19" i="21"/>
  <c r="V19" i="21"/>
  <c r="AM23" i="21"/>
  <c r="V23" i="21"/>
  <c r="AM8" i="20"/>
  <c r="V8" i="20"/>
  <c r="AN21" i="20"/>
  <c r="W21" i="20"/>
  <c r="AM24" i="20"/>
  <c r="V24" i="20"/>
  <c r="AJ27" i="20"/>
  <c r="AN28" i="20"/>
  <c r="W28" i="20"/>
  <c r="AM33" i="20"/>
  <c r="V33" i="20" s="1"/>
  <c r="AJ38" i="20"/>
  <c r="AM38" i="20"/>
  <c r="V38" i="20"/>
  <c r="AN12" i="19"/>
  <c r="W12" i="19"/>
  <c r="AM31" i="19"/>
  <c r="V31" i="19"/>
  <c r="AM35" i="19"/>
  <c r="V35" i="19" s="1"/>
  <c r="AJ35" i="19"/>
  <c r="AM15" i="19"/>
  <c r="V15" i="19"/>
  <c r="AM12" i="19"/>
  <c r="V12" i="19" s="1"/>
  <c r="AM36" i="19"/>
  <c r="V36" i="19"/>
  <c r="AN32" i="19"/>
  <c r="W32" i="19" s="1"/>
  <c r="AN36" i="19"/>
  <c r="W36" i="19"/>
  <c r="AM11" i="18"/>
  <c r="V11" i="18" s="1"/>
  <c r="AM18" i="18"/>
  <c r="V18" i="18"/>
  <c r="AM13" i="18"/>
  <c r="V13" i="18"/>
  <c r="AM17" i="18"/>
  <c r="V17" i="18" s="1"/>
  <c r="AN22" i="18"/>
  <c r="W22" i="18"/>
  <c r="AM15" i="17"/>
  <c r="V15" i="17" s="1"/>
  <c r="AN12" i="17"/>
  <c r="W12" i="17"/>
  <c r="AM16" i="17"/>
  <c r="V16" i="17" s="1"/>
  <c r="M46" i="27"/>
  <c r="W46" i="27"/>
  <c r="W57" i="27"/>
  <c r="M45" i="26"/>
  <c r="M46" i="23"/>
  <c r="M45" i="19"/>
  <c r="I15" i="5"/>
  <c r="AY9" i="25" s="1"/>
  <c r="AY17" i="17"/>
  <c r="AY17" i="21"/>
  <c r="AY17" i="20"/>
  <c r="AY17" i="27"/>
  <c r="AY17" i="26"/>
  <c r="AE22" i="20"/>
  <c r="AG13" i="19"/>
  <c r="AE27" i="22"/>
  <c r="AE9" i="6"/>
  <c r="M4" i="17"/>
  <c r="AJ29" i="17"/>
  <c r="AN32" i="17"/>
  <c r="W32" i="17" s="1"/>
  <c r="AM18" i="17"/>
  <c r="V18" i="17"/>
  <c r="AN11" i="17"/>
  <c r="W11" i="17" s="1"/>
  <c r="AM22" i="19"/>
  <c r="V22" i="19" s="1"/>
  <c r="AM17" i="19"/>
  <c r="V17" i="19"/>
  <c r="AJ10" i="18"/>
  <c r="AN16" i="18"/>
  <c r="W16" i="18" s="1"/>
  <c r="AN9" i="18"/>
  <c r="W9" i="18"/>
  <c r="AN26" i="18"/>
  <c r="W26" i="18" s="1"/>
  <c r="AM15" i="22"/>
  <c r="V15" i="22"/>
  <c r="AJ9" i="18"/>
  <c r="AJ16" i="21"/>
  <c r="AJ15" i="18"/>
  <c r="AN36" i="20"/>
  <c r="W36" i="20" s="1"/>
  <c r="AJ8" i="18"/>
  <c r="AJ15" i="19"/>
  <c r="AJ23" i="22"/>
  <c r="AJ34" i="22"/>
  <c r="AJ19" i="23"/>
  <c r="AM19" i="23"/>
  <c r="V19" i="23" s="1"/>
  <c r="AM17" i="24"/>
  <c r="V17" i="24"/>
  <c r="AJ17" i="24"/>
  <c r="AE38" i="25"/>
  <c r="AE13" i="20"/>
  <c r="AM25" i="18"/>
  <c r="V25" i="18"/>
  <c r="AM29" i="18"/>
  <c r="V29" i="18"/>
  <c r="AN15" i="19"/>
  <c r="W15" i="19"/>
  <c r="AJ34" i="19"/>
  <c r="AM17" i="21"/>
  <c r="V17" i="21" s="1"/>
  <c r="AM28" i="21"/>
  <c r="V28" i="21"/>
  <c r="AJ27" i="22"/>
  <c r="AM37" i="22"/>
  <c r="V37" i="22"/>
  <c r="AJ35" i="20"/>
  <c r="AM35" i="20"/>
  <c r="V35" i="20" s="1"/>
  <c r="AN15" i="22"/>
  <c r="W15" i="22"/>
  <c r="AM26" i="22"/>
  <c r="V26" i="22" s="1"/>
  <c r="AJ19" i="20"/>
  <c r="AJ23" i="20"/>
  <c r="AJ11" i="22"/>
  <c r="AJ8" i="23"/>
  <c r="AJ36" i="24"/>
  <c r="AN20" i="25"/>
  <c r="W20" i="25"/>
  <c r="AM10" i="27"/>
  <c r="V10" i="27"/>
  <c r="AN13" i="27"/>
  <c r="W13" i="27"/>
  <c r="AM18" i="25"/>
  <c r="V18" i="25"/>
  <c r="AJ18" i="25"/>
  <c r="AM29" i="27"/>
  <c r="V29" i="27"/>
  <c r="AJ29" i="27"/>
  <c r="AN34" i="25"/>
  <c r="W34" i="25"/>
  <c r="AJ17" i="26"/>
  <c r="AM17" i="26"/>
  <c r="V17" i="26"/>
  <c r="AM20" i="26"/>
  <c r="V20" i="26" s="1"/>
  <c r="AJ20" i="26"/>
  <c r="AM16" i="27"/>
  <c r="V16" i="27" s="1"/>
  <c r="AJ20" i="23"/>
  <c r="AJ30" i="25"/>
  <c r="AM30" i="27"/>
  <c r="V30" i="27" s="1"/>
  <c r="AJ29" i="25"/>
  <c r="AJ27" i="26"/>
  <c r="AJ34" i="27"/>
  <c r="M56" i="20"/>
  <c r="M51" i="19"/>
  <c r="S51" i="19"/>
  <c r="G41" i="17"/>
  <c r="AG38" i="18"/>
  <c r="G42" i="26"/>
  <c r="AG36" i="24"/>
  <c r="L36" i="24"/>
  <c r="AG28" i="25"/>
  <c r="L28" i="25" s="1"/>
  <c r="AG30" i="25"/>
  <c r="G43" i="20"/>
  <c r="AG13" i="23"/>
  <c r="L13" i="23" s="1"/>
  <c r="AG17" i="23"/>
  <c r="L17" i="23"/>
  <c r="I17" i="5"/>
  <c r="AG17" i="27"/>
  <c r="L17" i="27"/>
  <c r="AG32" i="22"/>
  <c r="L32" i="22" s="1"/>
  <c r="G42" i="21"/>
  <c r="G43" i="23"/>
  <c r="G42" i="6"/>
  <c r="I16" i="5"/>
  <c r="AY10" i="18" s="1"/>
  <c r="AG21" i="22"/>
  <c r="L21" i="22"/>
  <c r="AG37" i="24"/>
  <c r="AG32" i="18"/>
  <c r="L32" i="18"/>
  <c r="AG8" i="27"/>
  <c r="L8" i="27" s="1"/>
  <c r="U8" i="27" s="1"/>
  <c r="G42" i="19"/>
  <c r="G43" i="18"/>
  <c r="G43" i="25"/>
  <c r="AG26" i="22"/>
  <c r="AG11" i="19"/>
  <c r="L11" i="19"/>
  <c r="AG23" i="23"/>
  <c r="AG35" i="23"/>
  <c r="L35" i="23" s="1"/>
  <c r="AG12" i="24"/>
  <c r="L12" i="24"/>
  <c r="AG16" i="24"/>
  <c r="L16" i="24" s="1"/>
  <c r="AG11" i="27"/>
  <c r="L11" i="27"/>
  <c r="G42" i="24"/>
  <c r="G43" i="22"/>
  <c r="I22" i="5"/>
  <c r="I24" i="5"/>
  <c r="AG11" i="17"/>
  <c r="L11" i="17"/>
  <c r="AG8" i="25"/>
  <c r="L8" i="25" s="1"/>
  <c r="AG10" i="18"/>
  <c r="L10" i="18"/>
  <c r="AG23" i="19"/>
  <c r="L23" i="19" s="1"/>
  <c r="AG15" i="22"/>
  <c r="AG14" i="22"/>
  <c r="L14" i="22" s="1"/>
  <c r="AG30" i="27"/>
  <c r="AG30" i="23"/>
  <c r="AG16" i="17"/>
  <c r="L16" i="17" s="1"/>
  <c r="AG27" i="25"/>
  <c r="AG15" i="20"/>
  <c r="L15" i="20" s="1"/>
  <c r="AG33" i="23"/>
  <c r="L33" i="23"/>
  <c r="AG20" i="25"/>
  <c r="L20" i="25" s="1"/>
  <c r="AG30" i="17"/>
  <c r="AG11" i="25"/>
  <c r="L11" i="25"/>
  <c r="AG21" i="26"/>
  <c r="G43" i="17"/>
  <c r="AG37" i="26"/>
  <c r="L37" i="26" s="1"/>
  <c r="AG30" i="21"/>
  <c r="L30" i="21" s="1"/>
  <c r="AG18" i="25"/>
  <c r="L18" i="25"/>
  <c r="AG34" i="25"/>
  <c r="L34" i="25" s="1"/>
  <c r="AG24" i="23"/>
  <c r="L24" i="23"/>
  <c r="AG38" i="23"/>
  <c r="L38" i="23" s="1"/>
  <c r="AG30" i="26"/>
  <c r="AG20" i="27"/>
  <c r="L20" i="27" s="1"/>
  <c r="AG12" i="17"/>
  <c r="L12" i="17"/>
  <c r="AG20" i="18"/>
  <c r="L20" i="18" s="1"/>
  <c r="G43" i="6"/>
  <c r="I19" i="5"/>
  <c r="AY13" i="23" s="1"/>
  <c r="AY13" i="6"/>
  <c r="I20" i="5"/>
  <c r="AG21" i="19"/>
  <c r="L21" i="19"/>
  <c r="AG25" i="27"/>
  <c r="AG11" i="18"/>
  <c r="AG27" i="18"/>
  <c r="L27" i="18"/>
  <c r="AG28" i="23"/>
  <c r="L28" i="23" s="1"/>
  <c r="AG23" i="24"/>
  <c r="L23" i="24"/>
  <c r="AG26" i="24"/>
  <c r="L26" i="24" s="1"/>
  <c r="AG37" i="25"/>
  <c r="L37" i="25"/>
  <c r="AG17" i="25"/>
  <c r="L17" i="25" s="1"/>
  <c r="AG31" i="26"/>
  <c r="L31" i="26"/>
  <c r="AY9" i="26"/>
  <c r="AY9" i="17"/>
  <c r="AY9" i="20"/>
  <c r="AY9" i="27"/>
  <c r="AY9" i="18"/>
  <c r="AG24" i="17"/>
  <c r="AG28" i="24"/>
  <c r="L28" i="24"/>
  <c r="AG32" i="24"/>
  <c r="L32" i="24"/>
  <c r="AG21" i="17"/>
  <c r="L21" i="17"/>
  <c r="AG25" i="17"/>
  <c r="L25" i="17"/>
  <c r="AG33" i="17"/>
  <c r="L33" i="17" s="1"/>
  <c r="AG15" i="18"/>
  <c r="L15" i="18" s="1"/>
  <c r="AG21" i="18"/>
  <c r="AG31" i="18"/>
  <c r="L31" i="18" s="1"/>
  <c r="AG10" i="22"/>
  <c r="L10" i="22"/>
  <c r="AG25" i="22"/>
  <c r="L25" i="22" s="1"/>
  <c r="AG29" i="23"/>
  <c r="L29" i="23"/>
  <c r="AG18" i="27"/>
  <c r="L18" i="27" s="1"/>
  <c r="AG28" i="27"/>
  <c r="L28" i="27"/>
  <c r="AY9" i="23"/>
  <c r="E45" i="25"/>
  <c r="AY13" i="26"/>
  <c r="AG24" i="18"/>
  <c r="L24" i="18"/>
  <c r="AG37" i="23"/>
  <c r="L37" i="23" s="1"/>
  <c r="AG33" i="19"/>
  <c r="L33" i="19"/>
  <c r="AG9" i="17"/>
  <c r="L9" i="17" s="1"/>
  <c r="AG38" i="22"/>
  <c r="L38" i="22"/>
  <c r="AG15" i="17"/>
  <c r="L15" i="17" s="1"/>
  <c r="AG13" i="27"/>
  <c r="L13" i="27"/>
  <c r="AG37" i="19"/>
  <c r="L37" i="19" s="1"/>
  <c r="AG21" i="23"/>
  <c r="L21" i="23"/>
  <c r="AG36" i="25"/>
  <c r="L36" i="25" s="1"/>
  <c r="AG32" i="25"/>
  <c r="AG17" i="22"/>
  <c r="L17" i="22"/>
  <c r="AG12" i="18"/>
  <c r="L12" i="18"/>
  <c r="AG19" i="27"/>
  <c r="L19" i="27"/>
  <c r="AG21" i="27"/>
  <c r="L21" i="27"/>
  <c r="AG27" i="27"/>
  <c r="AG25" i="25"/>
  <c r="L25" i="25" s="1"/>
  <c r="AG35" i="27"/>
  <c r="G43" i="27"/>
  <c r="B8" i="20"/>
  <c r="N8" i="20" s="1"/>
  <c r="C9" i="20"/>
  <c r="B8" i="25"/>
  <c r="U8" i="25"/>
  <c r="C9" i="25"/>
  <c r="AY14" i="25"/>
  <c r="AY13" i="24"/>
  <c r="AY13" i="18"/>
  <c r="AY14" i="19"/>
  <c r="AY14" i="26"/>
  <c r="AY14" i="20"/>
  <c r="AY14" i="18"/>
  <c r="AY13" i="25"/>
  <c r="AY13" i="17"/>
  <c r="AY13" i="27"/>
  <c r="AE33" i="20"/>
  <c r="AE10" i="26"/>
  <c r="AG24" i="19"/>
  <c r="AG12" i="20"/>
  <c r="G44" i="22"/>
  <c r="G44" i="24"/>
  <c r="AG28" i="19"/>
  <c r="AG33" i="25"/>
  <c r="L33" i="25" s="1"/>
  <c r="G44" i="18"/>
  <c r="AG13" i="25"/>
  <c r="L13" i="25" s="1"/>
  <c r="AG24" i="27"/>
  <c r="L24" i="27"/>
  <c r="L21" i="18"/>
  <c r="AG15" i="24"/>
  <c r="AG31" i="24"/>
  <c r="L31" i="24"/>
  <c r="AG32" i="26"/>
  <c r="L32" i="26" s="1"/>
  <c r="AG10" i="27"/>
  <c r="L10" i="27"/>
  <c r="L35" i="22"/>
  <c r="AG10" i="23"/>
  <c r="L10" i="23"/>
  <c r="AG14" i="23"/>
  <c r="L14" i="23" s="1"/>
  <c r="AG34" i="23"/>
  <c r="L24" i="19"/>
  <c r="L16" i="19"/>
  <c r="L15" i="22"/>
  <c r="AG16" i="22"/>
  <c r="L16" i="22"/>
  <c r="L23" i="23"/>
  <c r="AG29" i="22"/>
  <c r="L29" i="22" s="1"/>
  <c r="AG33" i="22"/>
  <c r="G45" i="18"/>
  <c r="AQ45" i="23"/>
  <c r="AQ46" i="23" s="1"/>
  <c r="AG31" i="22"/>
  <c r="L31" i="22"/>
  <c r="AQ44" i="24"/>
  <c r="AQ45" i="24" s="1"/>
  <c r="AG15" i="23"/>
  <c r="E45" i="22"/>
  <c r="AG8" i="18"/>
  <c r="E45" i="18"/>
  <c r="AG11" i="22"/>
  <c r="L11" i="22"/>
  <c r="AG20" i="22"/>
  <c r="L20" i="22"/>
  <c r="AG16" i="19"/>
  <c r="AG26" i="23"/>
  <c r="L26" i="23" s="1"/>
  <c r="E43" i="24"/>
  <c r="AG21" i="25"/>
  <c r="L21" i="25"/>
  <c r="AM16" i="18"/>
  <c r="V16" i="18"/>
  <c r="AN29" i="19"/>
  <c r="W29" i="19"/>
  <c r="AM29" i="19"/>
  <c r="V29" i="19"/>
  <c r="AN9" i="22"/>
  <c r="W9" i="22"/>
  <c r="AM9" i="22"/>
  <c r="V9" i="22"/>
  <c r="AN16" i="22"/>
  <c r="W16" i="22"/>
  <c r="AY10" i="26"/>
  <c r="AY10" i="23"/>
  <c r="AY10" i="21"/>
  <c r="AY10" i="22"/>
  <c r="AE31" i="27"/>
  <c r="AE18" i="20"/>
  <c r="K2" i="3"/>
  <c r="AN8" i="17"/>
  <c r="W8" i="17" s="1"/>
  <c r="AM22" i="20"/>
  <c r="V22" i="20" s="1"/>
  <c r="AJ22" i="20"/>
  <c r="AY11" i="18"/>
  <c r="AN20" i="17"/>
  <c r="W20" i="17" s="1"/>
  <c r="AJ25" i="17"/>
  <c r="AJ34" i="18"/>
  <c r="AM37" i="19"/>
  <c r="V37" i="19" s="1"/>
  <c r="AJ37" i="19"/>
  <c r="AJ11" i="20"/>
  <c r="AN23" i="20"/>
  <c r="W23" i="20" s="1"/>
  <c r="AM30" i="20"/>
  <c r="V30" i="20" s="1"/>
  <c r="AM37" i="20"/>
  <c r="V37" i="20" s="1"/>
  <c r="AJ9" i="23"/>
  <c r="AJ12" i="23"/>
  <c r="AJ12" i="24"/>
  <c r="AJ12" i="21"/>
  <c r="AJ35" i="22"/>
  <c r="AJ11" i="23"/>
  <c r="AN12" i="24"/>
  <c r="W12" i="24" s="1"/>
  <c r="AM23" i="24"/>
  <c r="V23" i="24" s="1"/>
  <c r="AM25" i="25"/>
  <c r="V25" i="25" s="1"/>
  <c r="AJ25" i="25"/>
  <c r="AJ20" i="25"/>
  <c r="AN21" i="25"/>
  <c r="W21" i="25" s="1"/>
  <c r="AN26" i="25"/>
  <c r="W26" i="25" s="1"/>
  <c r="AJ31" i="25"/>
  <c r="AJ35" i="25"/>
  <c r="AM12" i="26"/>
  <c r="V12" i="26" s="1"/>
  <c r="AJ33" i="26"/>
  <c r="AM17" i="27"/>
  <c r="V17" i="27"/>
  <c r="AM9" i="27"/>
  <c r="V9" i="27"/>
  <c r="I18" i="5"/>
  <c r="AY12" i="21" s="1"/>
  <c r="M52" i="20"/>
  <c r="S52" i="20" s="1"/>
  <c r="AJ22" i="27"/>
  <c r="AN23" i="27"/>
  <c r="W23" i="27"/>
  <c r="AG26" i="18"/>
  <c r="L26" i="18"/>
  <c r="AG9" i="24"/>
  <c r="AM26" i="27"/>
  <c r="V26" i="27" s="1"/>
  <c r="C9" i="22"/>
  <c r="B9" i="22" s="1"/>
  <c r="U9" i="22" s="1"/>
  <c r="B8" i="22"/>
  <c r="U8" i="22" s="1"/>
  <c r="B8" i="23"/>
  <c r="U8" i="23" s="1"/>
  <c r="AY12" i="25"/>
  <c r="AY12" i="27"/>
  <c r="AY12" i="24"/>
  <c r="AY12" i="18"/>
  <c r="AY12" i="19"/>
  <c r="K5" i="3"/>
  <c r="AG9" i="19"/>
  <c r="L9" i="19"/>
  <c r="AG31" i="27"/>
  <c r="L31" i="27"/>
  <c r="E42" i="17"/>
  <c r="AG35" i="17"/>
  <c r="G44" i="27"/>
  <c r="AM17" i="22"/>
  <c r="V17" i="22" s="1"/>
  <c r="AJ19" i="17"/>
  <c r="AY16" i="25"/>
  <c r="AY16" i="19"/>
  <c r="AY16" i="20"/>
  <c r="AY16" i="23"/>
  <c r="K9" i="3"/>
  <c r="AB22" i="26"/>
  <c r="K3" i="3"/>
  <c r="AY10" i="24"/>
  <c r="AY10" i="25"/>
  <c r="AY10" i="27"/>
  <c r="AY10" i="20"/>
  <c r="AY16" i="26"/>
  <c r="AY18" i="17"/>
  <c r="AJ17" i="17"/>
  <c r="AJ34" i="17"/>
  <c r="AY18" i="24"/>
  <c r="AG10" i="26"/>
  <c r="L10" i="26" s="1"/>
  <c r="AJ16" i="17"/>
  <c r="AM10" i="6"/>
  <c r="V10" i="6"/>
  <c r="AJ19" i="6"/>
  <c r="AJ27" i="17"/>
  <c r="AM21" i="17"/>
  <c r="V21" i="17"/>
  <c r="AM31" i="18"/>
  <c r="V31" i="18"/>
  <c r="AN25" i="20"/>
  <c r="W25" i="20"/>
  <c r="AG27" i="22"/>
  <c r="AY11" i="27"/>
  <c r="AY11" i="25"/>
  <c r="AM24" i="17"/>
  <c r="V24" i="17" s="1"/>
  <c r="AJ29" i="18"/>
  <c r="AJ35" i="18"/>
  <c r="AM16" i="20"/>
  <c r="V16" i="20" s="1"/>
  <c r="AM30" i="19"/>
  <c r="V30" i="19" s="1"/>
  <c r="AN8" i="18"/>
  <c r="W8" i="18"/>
  <c r="AN17" i="19"/>
  <c r="W17" i="19"/>
  <c r="AJ22" i="19"/>
  <c r="AM10" i="23"/>
  <c r="V10" i="23" s="1"/>
  <c r="AN19" i="20"/>
  <c r="W19" i="20" s="1"/>
  <c r="AN26" i="21"/>
  <c r="W26" i="21" s="1"/>
  <c r="AN11" i="21"/>
  <c r="W11" i="21" s="1"/>
  <c r="AJ22" i="23"/>
  <c r="AM22" i="23"/>
  <c r="V22" i="23"/>
  <c r="AJ24" i="24"/>
  <c r="AJ16" i="20"/>
  <c r="AN30" i="20"/>
  <c r="W30" i="20"/>
  <c r="AN22" i="22"/>
  <c r="W22" i="22"/>
  <c r="AM10" i="22"/>
  <c r="V10" i="22"/>
  <c r="AJ27" i="24"/>
  <c r="AJ13" i="25"/>
  <c r="AM11" i="23"/>
  <c r="V11" i="23"/>
  <c r="AM16" i="24"/>
  <c r="V16" i="24"/>
  <c r="AN16" i="24"/>
  <c r="W16" i="24"/>
  <c r="AM20" i="24"/>
  <c r="V20" i="24"/>
  <c r="L30" i="17"/>
  <c r="AM14" i="25"/>
  <c r="V14" i="25" s="1"/>
  <c r="AN32" i="26"/>
  <c r="W32" i="26" s="1"/>
  <c r="AG36" i="22"/>
  <c r="L36" i="22" s="1"/>
  <c r="B8" i="26"/>
  <c r="N8" i="26"/>
  <c r="AJ28" i="24"/>
  <c r="AM37" i="25"/>
  <c r="V37" i="25" s="1"/>
  <c r="AG24" i="22"/>
  <c r="AG18" i="22"/>
  <c r="AN32" i="25"/>
  <c r="W32" i="25" s="1"/>
  <c r="AN36" i="26"/>
  <c r="W36" i="26" s="1"/>
  <c r="AN8" i="27"/>
  <c r="W8" i="27" s="1"/>
  <c r="AN36" i="27"/>
  <c r="W36" i="27" s="1"/>
  <c r="AG32" i="23"/>
  <c r="L32" i="23" s="1"/>
  <c r="AG30" i="24"/>
  <c r="L30" i="24" s="1"/>
  <c r="M46" i="22"/>
  <c r="AG36" i="18"/>
  <c r="AG26" i="27"/>
  <c r="L26" i="27" s="1"/>
  <c r="AG19" i="23"/>
  <c r="L19" i="23" s="1"/>
  <c r="AG16" i="27"/>
  <c r="L16" i="27" s="1"/>
  <c r="M56" i="27"/>
  <c r="AG27" i="23"/>
  <c r="L27" i="23"/>
  <c r="AG18" i="18"/>
  <c r="L18" i="18"/>
  <c r="AG37" i="22"/>
  <c r="L37" i="22"/>
  <c r="AG15" i="25"/>
  <c r="L15" i="25"/>
  <c r="AN37" i="27"/>
  <c r="W37" i="27"/>
  <c r="M52" i="27"/>
  <c r="S52" i="27"/>
  <c r="AG33" i="18"/>
  <c r="L33" i="18"/>
  <c r="AG8" i="22"/>
  <c r="L8" i="22"/>
  <c r="M52" i="18"/>
  <c r="S52" i="18"/>
  <c r="AG31" i="17"/>
  <c r="L31" i="17"/>
  <c r="AG17" i="17"/>
  <c r="L17" i="17"/>
  <c r="AG22" i="24"/>
  <c r="L22" i="24"/>
  <c r="AG23" i="18"/>
  <c r="AN34" i="27"/>
  <c r="W34" i="27" s="1"/>
  <c r="AG35" i="20"/>
  <c r="L35" i="20" s="1"/>
  <c r="AG9" i="22"/>
  <c r="L9" i="22" s="1"/>
  <c r="L29" i="17"/>
  <c r="AB22" i="23"/>
  <c r="AB29" i="19"/>
  <c r="AB8" i="6"/>
  <c r="AG8" i="6"/>
  <c r="L8" i="6" s="1"/>
  <c r="AB17" i="21"/>
  <c r="AB32" i="27"/>
  <c r="AG32" i="27" s="1"/>
  <c r="AB8" i="26"/>
  <c r="AG8" i="26"/>
  <c r="L8" i="26" s="1"/>
  <c r="AB33" i="27"/>
  <c r="AB8" i="20"/>
  <c r="AB37" i="20"/>
  <c r="L37" i="20"/>
  <c r="AG37" i="20"/>
  <c r="AB18" i="26"/>
  <c r="AG18" i="26" s="1"/>
  <c r="AE38" i="20"/>
  <c r="AG38" i="20"/>
  <c r="G45" i="22"/>
  <c r="AG20" i="19"/>
  <c r="L20" i="19" s="1"/>
  <c r="AG21" i="20"/>
  <c r="G45" i="23"/>
  <c r="G44" i="23"/>
  <c r="AG28" i="22"/>
  <c r="L28" i="22" s="1"/>
  <c r="C9" i="27"/>
  <c r="B9" i="27"/>
  <c r="U9" i="27" s="1"/>
  <c r="AQ44" i="19"/>
  <c r="AQ45" i="19" s="1"/>
  <c r="E44" i="19"/>
  <c r="AG36" i="20"/>
  <c r="L36" i="20"/>
  <c r="G45" i="27"/>
  <c r="E45" i="27"/>
  <c r="B8" i="24"/>
  <c r="U8" i="26"/>
  <c r="B8" i="6"/>
  <c r="C9" i="6"/>
  <c r="C10" i="6"/>
  <c r="B10" i="6" s="1"/>
  <c r="B8" i="18"/>
  <c r="U8" i="18"/>
  <c r="C9" i="18"/>
  <c r="B9" i="18"/>
  <c r="C9" i="19"/>
  <c r="B8" i="19"/>
  <c r="U8" i="19"/>
  <c r="C10" i="18"/>
  <c r="C11" i="18"/>
  <c r="E44" i="25"/>
  <c r="U8" i="20"/>
  <c r="N8" i="22"/>
  <c r="G44" i="6"/>
  <c r="AN8" i="19"/>
  <c r="W8" i="19" s="1"/>
  <c r="G43" i="19"/>
  <c r="G44" i="20"/>
  <c r="G45" i="20"/>
  <c r="E45" i="20"/>
  <c r="E44" i="20"/>
  <c r="AN8" i="20"/>
  <c r="W8" i="20" s="1"/>
  <c r="AG8" i="20"/>
  <c r="G44" i="26"/>
  <c r="E44" i="26"/>
  <c r="L18" i="26"/>
  <c r="AQ45" i="27"/>
  <c r="AQ46" i="27"/>
  <c r="AN30" i="6"/>
  <c r="W30" i="6"/>
  <c r="AM19" i="6"/>
  <c r="V19" i="6"/>
  <c r="AM26" i="6"/>
  <c r="V26" i="6"/>
  <c r="AN29" i="6"/>
  <c r="W29" i="6"/>
  <c r="AM21" i="6"/>
  <c r="V21" i="6"/>
  <c r="AM17" i="6"/>
  <c r="V17" i="6"/>
  <c r="AN11" i="6"/>
  <c r="W11" i="6"/>
  <c r="W14" i="6"/>
  <c r="AN31" i="6"/>
  <c r="W31" i="6"/>
  <c r="AJ37" i="6"/>
  <c r="AG24" i="6"/>
  <c r="L24" i="6" s="1"/>
  <c r="AN24" i="6"/>
  <c r="W24" i="6"/>
  <c r="AJ30" i="6"/>
  <c r="M48" i="17"/>
  <c r="R48" i="17"/>
  <c r="S48" i="17" s="1"/>
  <c r="L14" i="17"/>
  <c r="L10" i="17"/>
  <c r="AM13" i="17"/>
  <c r="V13" i="17"/>
  <c r="C9" i="17"/>
  <c r="AM30" i="17"/>
  <c r="V30" i="17" s="1"/>
  <c r="AM33" i="17"/>
  <c r="V33" i="17" s="1"/>
  <c r="AJ31" i="17"/>
  <c r="AM36" i="17"/>
  <c r="V36" i="17" s="1"/>
  <c r="AJ23" i="17"/>
  <c r="AM12" i="17"/>
  <c r="V12" i="17"/>
  <c r="AM14" i="17"/>
  <c r="V14" i="17"/>
  <c r="AM35" i="17"/>
  <c r="V35" i="17"/>
  <c r="L27" i="17"/>
  <c r="AM10" i="17"/>
  <c r="V10" i="17" s="1"/>
  <c r="AN25" i="17"/>
  <c r="W25" i="17"/>
  <c r="M47" i="18"/>
  <c r="AN10" i="18"/>
  <c r="W10" i="18" s="1"/>
  <c r="AN24" i="18"/>
  <c r="W24" i="18" s="1"/>
  <c r="AM23" i="18"/>
  <c r="V23" i="18" s="1"/>
  <c r="AJ20" i="18"/>
  <c r="AN34" i="18"/>
  <c r="W34" i="18" s="1"/>
  <c r="L37" i="18"/>
  <c r="AM36" i="18"/>
  <c r="V36" i="18"/>
  <c r="AJ28" i="18"/>
  <c r="N8" i="18"/>
  <c r="AM21" i="18"/>
  <c r="V21" i="18" s="1"/>
  <c r="B10" i="18"/>
  <c r="U10" i="18" s="1"/>
  <c r="AM38" i="18"/>
  <c r="V38" i="18" s="1"/>
  <c r="AM30" i="18"/>
  <c r="V30" i="18" s="1"/>
  <c r="L22" i="18"/>
  <c r="R46" i="19"/>
  <c r="R47" i="19"/>
  <c r="S47" i="19" s="1"/>
  <c r="R48" i="19"/>
  <c r="L12" i="19"/>
  <c r="R49" i="19"/>
  <c r="L34" i="19"/>
  <c r="AM18" i="19"/>
  <c r="V18" i="19" s="1"/>
  <c r="AM14" i="19"/>
  <c r="V14" i="19" s="1"/>
  <c r="AJ23" i="19"/>
  <c r="AJ11" i="19"/>
  <c r="AN34" i="19"/>
  <c r="W34" i="19" s="1"/>
  <c r="AN24" i="19"/>
  <c r="W24" i="19" s="1"/>
  <c r="AJ9" i="19"/>
  <c r="AM8" i="19"/>
  <c r="V8" i="19" s="1"/>
  <c r="L22" i="19"/>
  <c r="AM28" i="19"/>
  <c r="V28" i="19" s="1"/>
  <c r="M48" i="20"/>
  <c r="M49" i="20"/>
  <c r="S49" i="20" s="1"/>
  <c r="M50" i="20"/>
  <c r="AG9" i="20"/>
  <c r="L9" i="20"/>
  <c r="AG32" i="20"/>
  <c r="L32" i="20"/>
  <c r="AN11" i="20"/>
  <c r="W11" i="20"/>
  <c r="AJ31" i="20"/>
  <c r="AJ15" i="20"/>
  <c r="AM26" i="20"/>
  <c r="V26" i="20" s="1"/>
  <c r="AJ29" i="20"/>
  <c r="AM34" i="20"/>
  <c r="V34" i="20"/>
  <c r="L10" i="20"/>
  <c r="L24" i="20"/>
  <c r="AM32" i="20"/>
  <c r="V32" i="20"/>
  <c r="AM28" i="20"/>
  <c r="V28" i="20"/>
  <c r="L11" i="20"/>
  <c r="AM10" i="20"/>
  <c r="V10" i="20" s="1"/>
  <c r="AN21" i="21"/>
  <c r="W21" i="21" s="1"/>
  <c r="AJ35" i="21"/>
  <c r="AG17" i="21"/>
  <c r="AG29" i="21"/>
  <c r="L29" i="21" s="1"/>
  <c r="E43" i="21"/>
  <c r="AJ18" i="21"/>
  <c r="AJ34" i="21"/>
  <c r="AG12" i="21"/>
  <c r="AG24" i="21"/>
  <c r="L24" i="21" s="1"/>
  <c r="AG36" i="21"/>
  <c r="L36" i="21" s="1"/>
  <c r="AG35" i="21"/>
  <c r="L35" i="21" s="1"/>
  <c r="AG23" i="21"/>
  <c r="L23" i="21" s="1"/>
  <c r="E44" i="21"/>
  <c r="AG34" i="21"/>
  <c r="L34" i="21" s="1"/>
  <c r="AM21" i="21"/>
  <c r="V21" i="21" s="1"/>
  <c r="AN18" i="21"/>
  <c r="W18" i="21" s="1"/>
  <c r="AN19" i="21"/>
  <c r="W19" i="21" s="1"/>
  <c r="AG13" i="21"/>
  <c r="L13" i="21" s="1"/>
  <c r="AN17" i="21"/>
  <c r="W17" i="21" s="1"/>
  <c r="AN33" i="21"/>
  <c r="W33" i="21" s="1"/>
  <c r="AG26" i="21"/>
  <c r="L26" i="21"/>
  <c r="AN32" i="21"/>
  <c r="W32" i="21"/>
  <c r="M55" i="21"/>
  <c r="AG14" i="21"/>
  <c r="L14" i="21" s="1"/>
  <c r="AN16" i="21"/>
  <c r="W16" i="21" s="1"/>
  <c r="AJ26" i="21"/>
  <c r="M45" i="21"/>
  <c r="AM31" i="21"/>
  <c r="V31" i="21"/>
  <c r="AJ13" i="21"/>
  <c r="AN31" i="21"/>
  <c r="W31" i="21" s="1"/>
  <c r="AG9" i="21"/>
  <c r="L9" i="21" s="1"/>
  <c r="AG21" i="21"/>
  <c r="L21" i="21"/>
  <c r="M8" i="22"/>
  <c r="AM12" i="21"/>
  <c r="V12" i="21" s="1"/>
  <c r="AN14" i="21"/>
  <c r="W14" i="21" s="1"/>
  <c r="AN29" i="21"/>
  <c r="W29" i="21" s="1"/>
  <c r="AJ36" i="21"/>
  <c r="AN37" i="21"/>
  <c r="W37" i="21"/>
  <c r="AG27" i="21"/>
  <c r="L27" i="21"/>
  <c r="AG15" i="21"/>
  <c r="L15" i="21"/>
  <c r="AN9" i="21"/>
  <c r="W9" i="21"/>
  <c r="W24" i="21"/>
  <c r="M47" i="22"/>
  <c r="S47" i="22" s="1"/>
  <c r="R48" i="22"/>
  <c r="S48" i="22" s="1"/>
  <c r="R49" i="22"/>
  <c r="N9" i="22"/>
  <c r="AM28" i="22"/>
  <c r="V28" i="22"/>
  <c r="AM19" i="22"/>
  <c r="V19" i="22"/>
  <c r="C10" i="22"/>
  <c r="AM36" i="22"/>
  <c r="V36" i="22"/>
  <c r="AJ32" i="22"/>
  <c r="AJ22" i="22"/>
  <c r="AJ31" i="22"/>
  <c r="L19" i="22"/>
  <c r="AM38" i="22"/>
  <c r="V38" i="22" s="1"/>
  <c r="AJ24" i="22"/>
  <c r="R48" i="23"/>
  <c r="S48" i="23"/>
  <c r="R49" i="23"/>
  <c r="S49" i="23" s="1"/>
  <c r="M50" i="23"/>
  <c r="S50" i="23" s="1"/>
  <c r="L8" i="23"/>
  <c r="B9" i="23"/>
  <c r="U9" i="23" s="1"/>
  <c r="C10" i="23"/>
  <c r="AJ15" i="23"/>
  <c r="AG11" i="23"/>
  <c r="L11" i="23" s="1"/>
  <c r="AG8" i="23"/>
  <c r="AJ26" i="23"/>
  <c r="AJ31" i="23"/>
  <c r="AJ36" i="23"/>
  <c r="AM13" i="23"/>
  <c r="V13" i="23"/>
  <c r="AG22" i="23"/>
  <c r="L22" i="23"/>
  <c r="AN34" i="23"/>
  <c r="W34" i="23"/>
  <c r="AN38" i="23"/>
  <c r="W38" i="23"/>
  <c r="AM35" i="23"/>
  <c r="V35" i="23" s="1"/>
  <c r="AJ29" i="23"/>
  <c r="AM33" i="23"/>
  <c r="V33" i="23" s="1"/>
  <c r="AM14" i="23"/>
  <c r="V14" i="23" s="1"/>
  <c r="M49" i="24"/>
  <c r="C10" i="24"/>
  <c r="B9" i="24"/>
  <c r="U9" i="24"/>
  <c r="R49" i="24"/>
  <c r="M46" i="24"/>
  <c r="S46" i="24" s="1"/>
  <c r="R46" i="24"/>
  <c r="R47" i="24"/>
  <c r="L29" i="24"/>
  <c r="M48" i="24"/>
  <c r="S48" i="24" s="1"/>
  <c r="AN35" i="24"/>
  <c r="W35" i="24" s="1"/>
  <c r="AM11" i="24"/>
  <c r="V11" i="24" s="1"/>
  <c r="AN9" i="24"/>
  <c r="W9" i="24" s="1"/>
  <c r="L21" i="24"/>
  <c r="AM27" i="24"/>
  <c r="V27" i="24"/>
  <c r="L33" i="24"/>
  <c r="AM8" i="24"/>
  <c r="V8" i="24" s="1"/>
  <c r="AM33" i="24"/>
  <c r="V33" i="24" s="1"/>
  <c r="N8" i="24"/>
  <c r="N9" i="24" s="1"/>
  <c r="L35" i="24"/>
  <c r="AN29" i="24"/>
  <c r="W29" i="24"/>
  <c r="L17" i="24"/>
  <c r="AM25" i="24"/>
  <c r="V25" i="24" s="1"/>
  <c r="AJ13" i="24"/>
  <c r="AJ14" i="24"/>
  <c r="L25" i="24"/>
  <c r="M50" i="25"/>
  <c r="S50" i="25" s="1"/>
  <c r="R50" i="25"/>
  <c r="M47" i="25"/>
  <c r="S47" i="25" s="1"/>
  <c r="R47" i="25"/>
  <c r="M48" i="25"/>
  <c r="R48" i="25"/>
  <c r="R49" i="25"/>
  <c r="S49" i="25" s="1"/>
  <c r="M49" i="25"/>
  <c r="AJ17" i="25"/>
  <c r="AM8" i="25"/>
  <c r="V8" i="25"/>
  <c r="AJ34" i="25"/>
  <c r="AG38" i="25"/>
  <c r="L38" i="25" s="1"/>
  <c r="AN9" i="25"/>
  <c r="W9" i="25" s="1"/>
  <c r="AN10" i="25"/>
  <c r="W10" i="25"/>
  <c r="AJ22" i="25"/>
  <c r="AN15" i="25"/>
  <c r="W15" i="25" s="1"/>
  <c r="AM32" i="25"/>
  <c r="V32" i="25" s="1"/>
  <c r="R46" i="26"/>
  <c r="S46" i="26" s="1"/>
  <c r="M46" i="26"/>
  <c r="M47" i="26"/>
  <c r="S47" i="26"/>
  <c r="M8" i="26"/>
  <c r="P8" i="26" s="1"/>
  <c r="M48" i="26"/>
  <c r="R48" i="26"/>
  <c r="R47" i="26"/>
  <c r="R49" i="26"/>
  <c r="M49" i="26"/>
  <c r="S49" i="26"/>
  <c r="L24" i="26"/>
  <c r="B9" i="26"/>
  <c r="C10" i="26"/>
  <c r="L26" i="26"/>
  <c r="AM10" i="26"/>
  <c r="V10" i="26" s="1"/>
  <c r="AM32" i="26"/>
  <c r="V32" i="26" s="1"/>
  <c r="L14" i="26"/>
  <c r="AM13" i="26"/>
  <c r="V13" i="26" s="1"/>
  <c r="AN23" i="26"/>
  <c r="W23" i="26" s="1"/>
  <c r="AG17" i="26"/>
  <c r="L17" i="26"/>
  <c r="AM26" i="26"/>
  <c r="V26" i="26"/>
  <c r="AG11" i="26"/>
  <c r="L11" i="26"/>
  <c r="AM9" i="26"/>
  <c r="V9" i="26"/>
  <c r="AG19" i="26"/>
  <c r="L19" i="26" s="1"/>
  <c r="AM18" i="26"/>
  <c r="V18" i="26"/>
  <c r="AG13" i="26"/>
  <c r="L13" i="26"/>
  <c r="L25" i="26"/>
  <c r="L36" i="26"/>
  <c r="AN35" i="26"/>
  <c r="W35" i="26" s="1"/>
  <c r="AJ19" i="26"/>
  <c r="AJ15" i="26"/>
  <c r="AM14" i="26"/>
  <c r="V14" i="26" s="1"/>
  <c r="AM29" i="26"/>
  <c r="V29" i="26" s="1"/>
  <c r="AJ11" i="26"/>
  <c r="AM24" i="26"/>
  <c r="V24" i="26"/>
  <c r="L23" i="27"/>
  <c r="L22" i="27"/>
  <c r="R47" i="27"/>
  <c r="M47" i="27"/>
  <c r="S47" i="27" s="1"/>
  <c r="M48" i="27"/>
  <c r="R48" i="27"/>
  <c r="R49" i="27"/>
  <c r="M49" i="27"/>
  <c r="L15" i="27"/>
  <c r="L29" i="27"/>
  <c r="R50" i="27"/>
  <c r="S50" i="27"/>
  <c r="AG33" i="27"/>
  <c r="L33" i="27"/>
  <c r="AM12" i="27"/>
  <c r="V12" i="27"/>
  <c r="AJ11" i="27"/>
  <c r="AM14" i="27"/>
  <c r="V14" i="27"/>
  <c r="AM21" i="27"/>
  <c r="V21" i="27"/>
  <c r="L32" i="27"/>
  <c r="C10" i="27"/>
  <c r="L14" i="27"/>
  <c r="AM15" i="27"/>
  <c r="V15" i="27"/>
  <c r="AM18" i="27"/>
  <c r="V18" i="27"/>
  <c r="AJ12" i="6"/>
  <c r="AJ11" i="6"/>
  <c r="AJ10" i="6"/>
  <c r="AJ14" i="6"/>
  <c r="AN15" i="6"/>
  <c r="W15" i="6"/>
  <c r="AM20" i="6"/>
  <c r="V20" i="6"/>
  <c r="AM24" i="6"/>
  <c r="V24" i="6"/>
  <c r="AG21" i="6"/>
  <c r="AG33" i="6"/>
  <c r="L33" i="6" s="1"/>
  <c r="M46" i="6"/>
  <c r="AN25" i="6"/>
  <c r="W25" i="6"/>
  <c r="AJ36" i="6"/>
  <c r="AM37" i="6"/>
  <c r="V37" i="6" s="1"/>
  <c r="AG15" i="6"/>
  <c r="L15" i="6" s="1"/>
  <c r="AJ9" i="6"/>
  <c r="AJ18" i="6"/>
  <c r="AN28" i="6"/>
  <c r="W28" i="6" s="1"/>
  <c r="AG37" i="6"/>
  <c r="L37" i="6" s="1"/>
  <c r="AG10" i="6"/>
  <c r="L10" i="6" s="1"/>
  <c r="AJ31" i="6"/>
  <c r="AN35" i="6"/>
  <c r="W35" i="6"/>
  <c r="AM12" i="6"/>
  <c r="V12" i="6"/>
  <c r="AN22" i="6"/>
  <c r="W22" i="6"/>
  <c r="AN27" i="6"/>
  <c r="W27" i="6"/>
  <c r="AJ34" i="6"/>
  <c r="AN37" i="6"/>
  <c r="W37" i="6" s="1"/>
  <c r="AM27" i="6"/>
  <c r="V27" i="6" s="1"/>
  <c r="AG18" i="6"/>
  <c r="L18" i="6" s="1"/>
  <c r="AG30" i="6"/>
  <c r="B9" i="6"/>
  <c r="AN17" i="6"/>
  <c r="W17" i="6" s="1"/>
  <c r="AN18" i="6"/>
  <c r="W18" i="6" s="1"/>
  <c r="AN19" i="6"/>
  <c r="W19" i="6" s="1"/>
  <c r="AJ26" i="6"/>
  <c r="AJ28" i="6"/>
  <c r="AG13" i="6"/>
  <c r="L13" i="6" s="1"/>
  <c r="AG17" i="6"/>
  <c r="L17" i="6" s="1"/>
  <c r="AJ13" i="6"/>
  <c r="AG36" i="6"/>
  <c r="E45" i="6"/>
  <c r="AG16" i="6"/>
  <c r="L16" i="6" s="1"/>
  <c r="AG20" i="6"/>
  <c r="L20" i="6" s="1"/>
  <c r="AG26" i="6"/>
  <c r="L26" i="6" s="1"/>
  <c r="AJ27" i="6"/>
  <c r="AN21" i="6"/>
  <c r="W21" i="6"/>
  <c r="AM30" i="6"/>
  <c r="V30" i="6"/>
  <c r="AG27" i="6"/>
  <c r="L27" i="6"/>
  <c r="E44" i="6"/>
  <c r="AQ45" i="6"/>
  <c r="AQ46" i="6" s="1"/>
  <c r="AG38" i="6"/>
  <c r="L38" i="6" s="1"/>
  <c r="AG14" i="6"/>
  <c r="L14" i="6" s="1"/>
  <c r="AG31" i="6"/>
  <c r="L31" i="6"/>
  <c r="M56" i="6"/>
  <c r="AM8" i="6"/>
  <c r="V8" i="6" s="1"/>
  <c r="AN10" i="6"/>
  <c r="W10" i="6" s="1"/>
  <c r="AM11" i="6"/>
  <c r="V11" i="6" s="1"/>
  <c r="AN12" i="6"/>
  <c r="W12" i="6" s="1"/>
  <c r="AM34" i="6"/>
  <c r="V34" i="6" s="1"/>
  <c r="AJ38" i="6"/>
  <c r="L22" i="6"/>
  <c r="AG34" i="6"/>
  <c r="L34" i="6" s="1"/>
  <c r="AG32" i="6"/>
  <c r="L32" i="6" s="1"/>
  <c r="AM31" i="6"/>
  <c r="V31" i="6" s="1"/>
  <c r="AM32" i="6"/>
  <c r="V32" i="6" s="1"/>
  <c r="AG11" i="6"/>
  <c r="L11" i="6" s="1"/>
  <c r="AG23" i="6"/>
  <c r="L23" i="6" s="1"/>
  <c r="AG35" i="6"/>
  <c r="L35" i="6" s="1"/>
  <c r="AG9" i="6"/>
  <c r="L9" i="6" s="1"/>
  <c r="AN8" i="6"/>
  <c r="W8" i="6"/>
  <c r="AJ17" i="6"/>
  <c r="AM18" i="6"/>
  <c r="V18" i="6" s="1"/>
  <c r="AJ21" i="6"/>
  <c r="AN38" i="6"/>
  <c r="W38" i="6" s="1"/>
  <c r="AG12" i="6"/>
  <c r="L12" i="6" s="1"/>
  <c r="M52" i="6"/>
  <c r="S52" i="6" s="1"/>
  <c r="R47" i="6"/>
  <c r="C11" i="6"/>
  <c r="C12" i="6" s="1"/>
  <c r="R49" i="6"/>
  <c r="S49" i="6" s="1"/>
  <c r="E46" i="6"/>
  <c r="E40" i="17" s="1"/>
  <c r="E44" i="17"/>
  <c r="E42" i="18" s="1"/>
  <c r="E46" i="18"/>
  <c r="E41" i="19" s="1"/>
  <c r="E45" i="19" s="1"/>
  <c r="E42" i="20" s="1"/>
  <c r="E46" i="20" s="1"/>
  <c r="E41" i="21" s="1"/>
  <c r="M48" i="6"/>
  <c r="M47" i="6"/>
  <c r="AJ15" i="6"/>
  <c r="AG28" i="6"/>
  <c r="L28" i="6"/>
  <c r="AM33" i="6"/>
  <c r="V33" i="6"/>
  <c r="AM28" i="6"/>
  <c r="V28" i="6"/>
  <c r="AN26" i="6"/>
  <c r="W26" i="6"/>
  <c r="AJ8" i="6"/>
  <c r="AN20" i="6"/>
  <c r="W20" i="6"/>
  <c r="AJ24" i="6"/>
  <c r="AM23" i="6"/>
  <c r="V23" i="6" s="1"/>
  <c r="L36" i="6"/>
  <c r="AM9" i="6"/>
  <c r="V9" i="6"/>
  <c r="AM13" i="6"/>
  <c r="V13" i="6"/>
  <c r="AM22" i="6"/>
  <c r="V22" i="6" s="1"/>
  <c r="AJ32" i="6"/>
  <c r="AM29" i="6"/>
  <c r="V29" i="6" s="1"/>
  <c r="G45" i="6"/>
  <c r="G46" i="6" s="1"/>
  <c r="G40" i="17"/>
  <c r="L30" i="6"/>
  <c r="M8" i="6"/>
  <c r="L21" i="6"/>
  <c r="AM14" i="6"/>
  <c r="V14" i="6" s="1"/>
  <c r="R49" i="21"/>
  <c r="C10" i="21"/>
  <c r="B9" i="21"/>
  <c r="U9" i="21" s="1"/>
  <c r="AN15" i="21"/>
  <c r="W15" i="21" s="1"/>
  <c r="AN8" i="21"/>
  <c r="W8" i="21" s="1"/>
  <c r="R46" i="21"/>
  <c r="S46" i="21" s="1"/>
  <c r="AM22" i="21"/>
  <c r="V22" i="21"/>
  <c r="AG8" i="21"/>
  <c r="L8" i="21"/>
  <c r="U8" i="21" s="1"/>
  <c r="AM9" i="21"/>
  <c r="V9" i="21"/>
  <c r="AJ37" i="21"/>
  <c r="AJ10" i="21"/>
  <c r="AN22" i="21"/>
  <c r="W22" i="21"/>
  <c r="AG19" i="21"/>
  <c r="L19" i="21"/>
  <c r="AG31" i="21"/>
  <c r="L31" i="21"/>
  <c r="AJ11" i="21"/>
  <c r="AN23" i="21"/>
  <c r="W23" i="21" s="1"/>
  <c r="AM25" i="21"/>
  <c r="V25" i="21" s="1"/>
  <c r="B8" i="21"/>
  <c r="AJ29" i="21"/>
  <c r="AM18" i="21"/>
  <c r="V18" i="21" s="1"/>
  <c r="AG20" i="21"/>
  <c r="AG33" i="21"/>
  <c r="L33" i="21" s="1"/>
  <c r="AJ33" i="21"/>
  <c r="AJ17" i="21"/>
  <c r="AM36" i="21"/>
  <c r="V36" i="21"/>
  <c r="AQ44" i="21"/>
  <c r="AQ45" i="21"/>
  <c r="AM10" i="21"/>
  <c r="V10" i="21" s="1"/>
  <c r="AN20" i="21"/>
  <c r="W20" i="21" s="1"/>
  <c r="AJ32" i="21"/>
  <c r="AN35" i="21"/>
  <c r="W35" i="21"/>
  <c r="L10" i="21"/>
  <c r="AG22" i="21"/>
  <c r="L22" i="21" s="1"/>
  <c r="G43" i="21"/>
  <c r="AN30" i="21"/>
  <c r="W30" i="21"/>
  <c r="AN34" i="21"/>
  <c r="W34" i="21"/>
  <c r="M51" i="21"/>
  <c r="S51" i="21"/>
  <c r="AG11" i="21"/>
  <c r="L11" i="21"/>
  <c r="AG16" i="21"/>
  <c r="L16" i="21"/>
  <c r="R48" i="21"/>
  <c r="M49" i="21"/>
  <c r="S49" i="21" s="1"/>
  <c r="M46" i="21"/>
  <c r="L17" i="21"/>
  <c r="AM8" i="21"/>
  <c r="V8" i="21" s="1"/>
  <c r="M48" i="21"/>
  <c r="AM35" i="21"/>
  <c r="V35" i="21"/>
  <c r="AM20" i="21"/>
  <c r="V20" i="21"/>
  <c r="AM24" i="21"/>
  <c r="V24" i="21"/>
  <c r="AN36" i="21"/>
  <c r="W36" i="21"/>
  <c r="L12" i="21"/>
  <c r="AM11" i="21"/>
  <c r="V11" i="21" s="1"/>
  <c r="AM34" i="21"/>
  <c r="V34" i="21" s="1"/>
  <c r="AJ22" i="21"/>
  <c r="AM27" i="21"/>
  <c r="V27" i="21"/>
  <c r="AJ8" i="21"/>
  <c r="AG25" i="21"/>
  <c r="L25" i="21" s="1"/>
  <c r="AM15" i="21"/>
  <c r="V15" i="21" s="1"/>
  <c r="L20" i="21"/>
  <c r="AM30" i="21"/>
  <c r="V30" i="21"/>
  <c r="AE40" i="17"/>
  <c r="T42" i="6"/>
  <c r="AE43" i="6"/>
  <c r="B9" i="17"/>
  <c r="U9" i="17" s="1"/>
  <c r="C10" i="17"/>
  <c r="S47" i="18"/>
  <c r="P8" i="22"/>
  <c r="S48" i="19"/>
  <c r="S49" i="19"/>
  <c r="S46" i="19"/>
  <c r="S50" i="20"/>
  <c r="O8" i="22"/>
  <c r="S49" i="22"/>
  <c r="B10" i="22"/>
  <c r="U10" i="22"/>
  <c r="C11" i="22"/>
  <c r="C12" i="22" s="1"/>
  <c r="C13" i="22" s="1"/>
  <c r="B13" i="22" s="1"/>
  <c r="B10" i="23"/>
  <c r="U10" i="23"/>
  <c r="C11" i="23"/>
  <c r="B11" i="23" s="1"/>
  <c r="U11" i="23" s="1"/>
  <c r="S49" i="24"/>
  <c r="S48" i="25"/>
  <c r="C11" i="26"/>
  <c r="B10" i="26"/>
  <c r="U10" i="26" s="1"/>
  <c r="S48" i="27"/>
  <c r="C11" i="27"/>
  <c r="B10" i="27"/>
  <c r="U10" i="27"/>
  <c r="S49" i="27"/>
  <c r="S48" i="6"/>
  <c r="S47" i="6"/>
  <c r="B11" i="6"/>
  <c r="U10" i="6"/>
  <c r="M9" i="6"/>
  <c r="C11" i="21"/>
  <c r="B10" i="21"/>
  <c r="U10" i="21" s="1"/>
  <c r="S48" i="21"/>
  <c r="AK43" i="6"/>
  <c r="C11" i="17"/>
  <c r="B10" i="17"/>
  <c r="U10" i="17"/>
  <c r="N10" i="22"/>
  <c r="C12" i="23"/>
  <c r="C13" i="23" s="1"/>
  <c r="C14" i="23" s="1"/>
  <c r="C12" i="27"/>
  <c r="B11" i="27"/>
  <c r="U11" i="27" s="1"/>
  <c r="U11" i="6"/>
  <c r="C12" i="17"/>
  <c r="B12" i="17" s="1"/>
  <c r="U12" i="17" s="1"/>
  <c r="B11" i="17"/>
  <c r="U11" i="17"/>
  <c r="B12" i="22"/>
  <c r="B12" i="23"/>
  <c r="U12" i="23" s="1"/>
  <c r="C13" i="17"/>
  <c r="C14" i="17" s="1"/>
  <c r="B14" i="17" s="1"/>
  <c r="U14" i="17" s="1"/>
  <c r="C14" i="22"/>
  <c r="B13" i="23"/>
  <c r="U13" i="23" s="1"/>
  <c r="B13" i="17"/>
  <c r="U13" i="17" s="1"/>
  <c r="C15" i="17"/>
  <c r="AE42" i="17" l="1"/>
  <c r="AE41" i="17"/>
  <c r="AE43" i="17" s="1"/>
  <c r="AE45" i="17" s="1"/>
  <c r="AM8" i="17"/>
  <c r="V8" i="17" s="1"/>
  <c r="AJ8" i="17"/>
  <c r="R47" i="17"/>
  <c r="M47" i="17"/>
  <c r="S47" i="17" s="1"/>
  <c r="M10" i="6"/>
  <c r="R46" i="17"/>
  <c r="S46" i="17" s="1"/>
  <c r="U8" i="6"/>
  <c r="N8" i="6"/>
  <c r="C15" i="22"/>
  <c r="B14" i="22"/>
  <c r="R45" i="17"/>
  <c r="M45" i="17"/>
  <c r="S45" i="17" s="1"/>
  <c r="M45" i="18"/>
  <c r="R50" i="18"/>
  <c r="M50" i="18"/>
  <c r="S50" i="18" s="1"/>
  <c r="AE42" i="26"/>
  <c r="AK42" i="26"/>
  <c r="AK43" i="25"/>
  <c r="AE43" i="25"/>
  <c r="AE43" i="18"/>
  <c r="AK43" i="18"/>
  <c r="B15" i="17"/>
  <c r="C16" i="17"/>
  <c r="AJ22" i="17"/>
  <c r="AM22" i="17"/>
  <c r="V22" i="17" s="1"/>
  <c r="M48" i="18"/>
  <c r="S48" i="18" s="1"/>
  <c r="R48" i="18"/>
  <c r="AK43" i="27"/>
  <c r="AE43" i="27"/>
  <c r="AE42" i="24"/>
  <c r="AK42" i="24"/>
  <c r="AE43" i="23"/>
  <c r="AK43" i="23"/>
  <c r="AE44" i="22"/>
  <c r="AE46" i="22" s="1"/>
  <c r="AE48" i="22" s="1"/>
  <c r="AE45" i="22"/>
  <c r="AE42" i="21"/>
  <c r="AK42" i="21"/>
  <c r="AK43" i="22"/>
  <c r="C13" i="27"/>
  <c r="B12" i="27"/>
  <c r="B14" i="23"/>
  <c r="C15" i="23"/>
  <c r="C12" i="26"/>
  <c r="B11" i="26"/>
  <c r="E45" i="21"/>
  <c r="E42" i="22" s="1"/>
  <c r="E46" i="22" s="1"/>
  <c r="E42" i="23" s="1"/>
  <c r="B12" i="6"/>
  <c r="C13" i="6"/>
  <c r="C11" i="24"/>
  <c r="B10" i="24"/>
  <c r="S48" i="20"/>
  <c r="B11" i="18"/>
  <c r="C12" i="18"/>
  <c r="C10" i="19"/>
  <c r="B9" i="19"/>
  <c r="AE45" i="6"/>
  <c r="AE44" i="6"/>
  <c r="U12" i="22"/>
  <c r="C12" i="21"/>
  <c r="B11" i="21"/>
  <c r="G44" i="17"/>
  <c r="G42" i="18" s="1"/>
  <c r="G46" i="18" s="1"/>
  <c r="G41" i="19" s="1"/>
  <c r="G45" i="19" s="1"/>
  <c r="G42" i="20" s="1"/>
  <c r="G46" i="20" s="1"/>
  <c r="G41" i="21" s="1"/>
  <c r="G45" i="21" s="1"/>
  <c r="G42" i="22" s="1"/>
  <c r="G46" i="22" s="1"/>
  <c r="G42" i="23" s="1"/>
  <c r="G46" i="23" s="1"/>
  <c r="G41" i="24" s="1"/>
  <c r="G45" i="24" s="1"/>
  <c r="G42" i="25" s="1"/>
  <c r="G46" i="25" s="1"/>
  <c r="G41" i="26" s="1"/>
  <c r="G45" i="26" s="1"/>
  <c r="G42" i="27" s="1"/>
  <c r="G46" i="27" s="1"/>
  <c r="C10" i="25"/>
  <c r="B9" i="25"/>
  <c r="B11" i="22"/>
  <c r="N9" i="18"/>
  <c r="N10" i="18" s="1"/>
  <c r="L8" i="20"/>
  <c r="M8" i="20" s="1"/>
  <c r="AG29" i="19"/>
  <c r="L29" i="19" s="1"/>
  <c r="AJ24" i="18"/>
  <c r="R50" i="6"/>
  <c r="M50" i="6"/>
  <c r="S50" i="6" s="1"/>
  <c r="AN16" i="6"/>
  <c r="W16" i="6" s="1"/>
  <c r="AM16" i="6"/>
  <c r="V16" i="6" s="1"/>
  <c r="M44" i="6" s="1"/>
  <c r="AJ25" i="6"/>
  <c r="AM25" i="6"/>
  <c r="V25" i="6" s="1"/>
  <c r="AN36" i="6"/>
  <c r="W36" i="6" s="1"/>
  <c r="AM36" i="6"/>
  <c r="V36" i="6" s="1"/>
  <c r="AJ13" i="27"/>
  <c r="AM13" i="27"/>
  <c r="V13" i="27" s="1"/>
  <c r="U9" i="6"/>
  <c r="N9" i="6"/>
  <c r="N10" i="6" s="1"/>
  <c r="N11" i="6" s="1"/>
  <c r="N9" i="26"/>
  <c r="N10" i="26" s="1"/>
  <c r="S48" i="26"/>
  <c r="AG22" i="26"/>
  <c r="L22" i="26"/>
  <c r="R50" i="22"/>
  <c r="M50" i="22"/>
  <c r="S50" i="22" s="1"/>
  <c r="AJ16" i="23"/>
  <c r="AM16" i="23"/>
  <c r="V16" i="23" s="1"/>
  <c r="M44" i="23" s="1"/>
  <c r="R47" i="23"/>
  <c r="M47" i="23"/>
  <c r="AJ17" i="23"/>
  <c r="AM17" i="23"/>
  <c r="V17" i="23" s="1"/>
  <c r="AJ29" i="24"/>
  <c r="AM29" i="24"/>
  <c r="V29" i="24" s="1"/>
  <c r="O8" i="26"/>
  <c r="M9" i="22"/>
  <c r="C10" i="20"/>
  <c r="B9" i="20"/>
  <c r="AY18" i="23"/>
  <c r="AY18" i="22"/>
  <c r="AY18" i="25"/>
  <c r="AY18" i="21"/>
  <c r="AY18" i="19"/>
  <c r="AY18" i="6"/>
  <c r="AY18" i="20"/>
  <c r="K11" i="3"/>
  <c r="AE34" i="27" s="1"/>
  <c r="AY18" i="27"/>
  <c r="AY18" i="26"/>
  <c r="R49" i="18"/>
  <c r="M49" i="18"/>
  <c r="S49" i="18" s="1"/>
  <c r="AJ33" i="18"/>
  <c r="AM33" i="18"/>
  <c r="V33" i="18" s="1"/>
  <c r="AM10" i="19"/>
  <c r="V10" i="19" s="1"/>
  <c r="AJ10" i="19"/>
  <c r="AJ19" i="19"/>
  <c r="AM19" i="19"/>
  <c r="V19" i="19" s="1"/>
  <c r="AN21" i="19"/>
  <c r="W21" i="19" s="1"/>
  <c r="AM21" i="19"/>
  <c r="V21" i="19" s="1"/>
  <c r="T41" i="19"/>
  <c r="AN9" i="20"/>
  <c r="W9" i="20" s="1"/>
  <c r="M45" i="20" s="1"/>
  <c r="AM9" i="20"/>
  <c r="V9" i="20" s="1"/>
  <c r="AJ13" i="20"/>
  <c r="AM13" i="20"/>
  <c r="V13" i="20" s="1"/>
  <c r="AJ17" i="20"/>
  <c r="AM17" i="20"/>
  <c r="V17" i="20" s="1"/>
  <c r="T42" i="20"/>
  <c r="M47" i="21"/>
  <c r="S47" i="21" s="1"/>
  <c r="R47" i="21"/>
  <c r="L38" i="20"/>
  <c r="AY12" i="20"/>
  <c r="AY12" i="17"/>
  <c r="AY14" i="27"/>
  <c r="K7" i="3"/>
  <c r="AY14" i="21"/>
  <c r="AY14" i="24"/>
  <c r="AY14" i="22"/>
  <c r="AY14" i="6"/>
  <c r="AY16" i="17"/>
  <c r="AY16" i="21"/>
  <c r="AY16" i="6"/>
  <c r="AN13" i="6"/>
  <c r="W13" i="6" s="1"/>
  <c r="M45" i="6" s="1"/>
  <c r="AM11" i="17"/>
  <c r="V11" i="17" s="1"/>
  <c r="AJ11" i="17"/>
  <c r="AY18" i="18"/>
  <c r="AM22" i="18"/>
  <c r="V22" i="18" s="1"/>
  <c r="AJ22" i="18"/>
  <c r="AM26" i="18"/>
  <c r="V26" i="18" s="1"/>
  <c r="AJ26" i="18"/>
  <c r="AN27" i="18"/>
  <c r="W27" i="18" s="1"/>
  <c r="AN20" i="19"/>
  <c r="W20" i="19" s="1"/>
  <c r="AM20" i="19"/>
  <c r="V20" i="19" s="1"/>
  <c r="AJ8" i="20"/>
  <c r="R47" i="20"/>
  <c r="S47" i="20" s="1"/>
  <c r="AM22" i="25"/>
  <c r="V22" i="25" s="1"/>
  <c r="AN22" i="25"/>
  <c r="W22" i="25" s="1"/>
  <c r="AY12" i="6"/>
  <c r="AY14" i="17"/>
  <c r="AM15" i="18"/>
  <c r="V15" i="18" s="1"/>
  <c r="AM19" i="18"/>
  <c r="V19" i="18" s="1"/>
  <c r="AJ19" i="18"/>
  <c r="AM26" i="19"/>
  <c r="V26" i="19" s="1"/>
  <c r="AN26" i="19"/>
  <c r="W26" i="19" s="1"/>
  <c r="AJ21" i="20"/>
  <c r="AM21" i="20"/>
  <c r="V21" i="20" s="1"/>
  <c r="AN31" i="20"/>
  <c r="W31" i="20" s="1"/>
  <c r="AM31" i="20"/>
  <c r="V31" i="20" s="1"/>
  <c r="AJ8" i="22"/>
  <c r="AM8" i="22"/>
  <c r="V8" i="22" s="1"/>
  <c r="AJ37" i="23"/>
  <c r="AM37" i="23"/>
  <c r="V37" i="23" s="1"/>
  <c r="AJ21" i="25"/>
  <c r="AM21" i="25"/>
  <c r="V21" i="25" s="1"/>
  <c r="AY16" i="27"/>
  <c r="AN19" i="27"/>
  <c r="W19" i="27" s="1"/>
  <c r="AM19" i="27"/>
  <c r="V19" i="27" s="1"/>
  <c r="AG36" i="23"/>
  <c r="L36" i="23"/>
  <c r="L9" i="24"/>
  <c r="AY11" i="22"/>
  <c r="AY11" i="19"/>
  <c r="AY11" i="20"/>
  <c r="AY11" i="6"/>
  <c r="AY11" i="26"/>
  <c r="K4" i="3"/>
  <c r="AY11" i="17"/>
  <c r="AG22" i="20"/>
  <c r="L22" i="20" s="1"/>
  <c r="AB27" i="20"/>
  <c r="AE17" i="20"/>
  <c r="AB16" i="20"/>
  <c r="AB8" i="19"/>
  <c r="AN24" i="17"/>
  <c r="W24" i="17" s="1"/>
  <c r="M43" i="17" s="1"/>
  <c r="AM29" i="17"/>
  <c r="V29" i="17" s="1"/>
  <c r="AN29" i="17"/>
  <c r="W29" i="17" s="1"/>
  <c r="AM32" i="17"/>
  <c r="V32" i="17" s="1"/>
  <c r="AJ32" i="17"/>
  <c r="AJ14" i="18"/>
  <c r="AM14" i="18"/>
  <c r="V14" i="18" s="1"/>
  <c r="M44" i="18" s="1"/>
  <c r="AY16" i="18"/>
  <c r="AM13" i="19"/>
  <c r="V13" i="19" s="1"/>
  <c r="AJ13" i="19"/>
  <c r="AJ16" i="19"/>
  <c r="AN25" i="19"/>
  <c r="W25" i="19" s="1"/>
  <c r="AM25" i="19"/>
  <c r="V25" i="19" s="1"/>
  <c r="AJ27" i="19"/>
  <c r="AM27" i="19"/>
  <c r="V27" i="19" s="1"/>
  <c r="R48" i="20"/>
  <c r="AN12" i="20"/>
  <c r="W12" i="20" s="1"/>
  <c r="AM12" i="20"/>
  <c r="V12" i="20" s="1"/>
  <c r="AY11" i="21"/>
  <c r="AM11" i="25"/>
  <c r="V11" i="25" s="1"/>
  <c r="M44" i="25" s="1"/>
  <c r="AJ11" i="25"/>
  <c r="AY9" i="6"/>
  <c r="AY16" i="22"/>
  <c r="M47" i="24"/>
  <c r="S47" i="24" s="1"/>
  <c r="AY11" i="24"/>
  <c r="AN13" i="24"/>
  <c r="W13" i="24" s="1"/>
  <c r="M44" i="24" s="1"/>
  <c r="AM13" i="24"/>
  <c r="V13" i="24" s="1"/>
  <c r="L36" i="18"/>
  <c r="AG23" i="25"/>
  <c r="L23" i="25" s="1"/>
  <c r="AG36" i="17"/>
  <c r="L36" i="17" s="1"/>
  <c r="AG34" i="26"/>
  <c r="L34" i="26" s="1"/>
  <c r="L12" i="27"/>
  <c r="L30" i="27"/>
  <c r="AM27" i="18"/>
  <c r="V27" i="18" s="1"/>
  <c r="AJ37" i="18"/>
  <c r="AY9" i="19"/>
  <c r="AM16" i="19"/>
  <c r="V16" i="19" s="1"/>
  <c r="AJ36" i="20"/>
  <c r="AM36" i="20"/>
  <c r="V36" i="20" s="1"/>
  <c r="AY13" i="21"/>
  <c r="AY9" i="22"/>
  <c r="AM11" i="22"/>
  <c r="V11" i="22" s="1"/>
  <c r="AY12" i="22"/>
  <c r="AJ20" i="22"/>
  <c r="AM20" i="22"/>
  <c r="V20" i="22" s="1"/>
  <c r="AY11" i="23"/>
  <c r="AG25" i="18"/>
  <c r="L25" i="18" s="1"/>
  <c r="AG19" i="25"/>
  <c r="L19" i="25" s="1"/>
  <c r="L30" i="26"/>
  <c r="AJ30" i="20"/>
  <c r="AN32" i="20"/>
  <c r="W32" i="20" s="1"/>
  <c r="AJ34" i="20"/>
  <c r="AN14" i="22"/>
  <c r="W14" i="22" s="1"/>
  <c r="AM18" i="22"/>
  <c r="V18" i="22" s="1"/>
  <c r="AJ18" i="22"/>
  <c r="AY9" i="24"/>
  <c r="AN24" i="24"/>
  <c r="W24" i="24" s="1"/>
  <c r="AM11" i="26"/>
  <c r="V11" i="26" s="1"/>
  <c r="M43" i="26" s="1"/>
  <c r="M52" i="23"/>
  <c r="S52" i="23" s="1"/>
  <c r="AN29" i="20"/>
  <c r="W29" i="20" s="1"/>
  <c r="AN33" i="20"/>
  <c r="W33" i="20" s="1"/>
  <c r="AN35" i="20"/>
  <c r="W35" i="20" s="1"/>
  <c r="AN38" i="20"/>
  <c r="W38" i="20" s="1"/>
  <c r="AN10" i="21"/>
  <c r="W10" i="21" s="1"/>
  <c r="M44" i="21" s="1"/>
  <c r="AJ19" i="21"/>
  <c r="AM26" i="21"/>
  <c r="V26" i="21" s="1"/>
  <c r="M43" i="21" s="1"/>
  <c r="AJ9" i="22"/>
  <c r="AN12" i="22"/>
  <c r="W12" i="22" s="1"/>
  <c r="AN34" i="22"/>
  <c r="W34" i="22" s="1"/>
  <c r="AY12" i="23"/>
  <c r="AY14" i="23"/>
  <c r="AJ21" i="23"/>
  <c r="AN25" i="23"/>
  <c r="W25" i="23" s="1"/>
  <c r="AM25" i="23"/>
  <c r="V25" i="23" s="1"/>
  <c r="AM27" i="23"/>
  <c r="V27" i="23" s="1"/>
  <c r="AN29" i="23"/>
  <c r="W29" i="23" s="1"/>
  <c r="AM29" i="23"/>
  <c r="V29" i="23" s="1"/>
  <c r="AM9" i="24"/>
  <c r="V9" i="24" s="1"/>
  <c r="AJ15" i="24"/>
  <c r="AJ18" i="24"/>
  <c r="AN21" i="24"/>
  <c r="W21" i="24" s="1"/>
  <c r="AN23" i="24"/>
  <c r="W23" i="24" s="1"/>
  <c r="AN11" i="25"/>
  <c r="W11" i="25" s="1"/>
  <c r="M45" i="25" s="1"/>
  <c r="AN36" i="25"/>
  <c r="W36" i="25" s="1"/>
  <c r="AM36" i="25"/>
  <c r="V36" i="25" s="1"/>
  <c r="AN21" i="26"/>
  <c r="W21" i="26" s="1"/>
  <c r="AN11" i="27"/>
  <c r="W11" i="27" s="1"/>
  <c r="AG22" i="25"/>
  <c r="L22" i="25" s="1"/>
  <c r="AG19" i="20"/>
  <c r="AG12" i="25"/>
  <c r="AG13" i="18"/>
  <c r="L13" i="18" s="1"/>
  <c r="L35" i="27"/>
  <c r="AN8" i="22"/>
  <c r="W8" i="22" s="1"/>
  <c r="M45" i="22" s="1"/>
  <c r="AN21" i="22"/>
  <c r="W21" i="22" s="1"/>
  <c r="AN33" i="22"/>
  <c r="W33" i="22" s="1"/>
  <c r="AN12" i="23"/>
  <c r="W12" i="23" s="1"/>
  <c r="M45" i="23" s="1"/>
  <c r="AN14" i="23"/>
  <c r="W14" i="23" s="1"/>
  <c r="AY16" i="24"/>
  <c r="AN25" i="24"/>
  <c r="W25" i="24" s="1"/>
  <c r="AN26" i="24"/>
  <c r="W26" i="24" s="1"/>
  <c r="AM26" i="24"/>
  <c r="V26" i="24" s="1"/>
  <c r="AN13" i="25"/>
  <c r="W13" i="25" s="1"/>
  <c r="AM13" i="25"/>
  <c r="V13" i="25" s="1"/>
  <c r="AM16" i="25"/>
  <c r="V16" i="25" s="1"/>
  <c r="AJ16" i="25"/>
  <c r="AJ19" i="25"/>
  <c r="AG28" i="18"/>
  <c r="L28" i="18"/>
  <c r="L12" i="20"/>
  <c r="AG31" i="20"/>
  <c r="L31" i="20"/>
  <c r="AG30" i="22"/>
  <c r="L30" i="22" s="1"/>
  <c r="L15" i="23"/>
  <c r="L28" i="19"/>
  <c r="L32" i="19"/>
  <c r="AG36" i="19"/>
  <c r="L36" i="19" s="1"/>
  <c r="AG9" i="18"/>
  <c r="L9" i="18" s="1"/>
  <c r="U9" i="18" s="1"/>
  <c r="AG35" i="19"/>
  <c r="L35" i="19" s="1"/>
  <c r="AG31" i="23"/>
  <c r="L31" i="23" s="1"/>
  <c r="E44" i="24"/>
  <c r="AM36" i="26"/>
  <c r="V36" i="26" s="1"/>
  <c r="AM11" i="27"/>
  <c r="V11" i="27" s="1"/>
  <c r="M44" i="27" s="1"/>
  <c r="AM23" i="27"/>
  <c r="V23" i="27" s="1"/>
  <c r="AJ23" i="27"/>
  <c r="L29" i="20"/>
  <c r="AG34" i="20"/>
  <c r="L34" i="20" s="1"/>
  <c r="AG13" i="22"/>
  <c r="L13" i="22"/>
  <c r="U13" i="22" s="1"/>
  <c r="AG24" i="25"/>
  <c r="L24" i="25" s="1"/>
  <c r="L31" i="25"/>
  <c r="L12" i="22"/>
  <c r="L24" i="22"/>
  <c r="AG30" i="18"/>
  <c r="L30" i="18"/>
  <c r="AG34" i="18"/>
  <c r="L34" i="18" s="1"/>
  <c r="L38" i="18"/>
  <c r="AG10" i="19"/>
  <c r="L10" i="19"/>
  <c r="AG9" i="25"/>
  <c r="AQ45" i="25"/>
  <c r="L9" i="25"/>
  <c r="L19" i="18"/>
  <c r="AM30" i="25"/>
  <c r="V30" i="25" s="1"/>
  <c r="AM23" i="26"/>
  <c r="V23" i="26" s="1"/>
  <c r="AJ23" i="26"/>
  <c r="AJ28" i="26"/>
  <c r="AM28" i="26"/>
  <c r="V28" i="26" s="1"/>
  <c r="AN9" i="27"/>
  <c r="W9" i="27" s="1"/>
  <c r="M45" i="27" s="1"/>
  <c r="AN12" i="27"/>
  <c r="W12" i="27" s="1"/>
  <c r="L26" i="20"/>
  <c r="AG26" i="20"/>
  <c r="L23" i="18"/>
  <c r="AG18" i="21"/>
  <c r="L18" i="21" s="1"/>
  <c r="AG18" i="23"/>
  <c r="L18" i="23" s="1"/>
  <c r="L30" i="23"/>
  <c r="L34" i="23"/>
  <c r="AG10" i="24"/>
  <c r="L14" i="24"/>
  <c r="L27" i="27"/>
  <c r="AG20" i="23"/>
  <c r="L20" i="23" s="1"/>
  <c r="AG34" i="24"/>
  <c r="L34" i="24" s="1"/>
  <c r="AQ46" i="25"/>
  <c r="AM35" i="26"/>
  <c r="V35" i="26" s="1"/>
  <c r="AG15" i="26"/>
  <c r="L15" i="26" s="1"/>
  <c r="AG23" i="26"/>
  <c r="M55" i="26"/>
  <c r="AG25" i="20"/>
  <c r="L25" i="20" s="1"/>
  <c r="AG28" i="20"/>
  <c r="L28" i="20" s="1"/>
  <c r="AQ45" i="22"/>
  <c r="AQ46" i="22" s="1"/>
  <c r="L27" i="24"/>
  <c r="L37" i="24"/>
  <c r="AG12" i="26"/>
  <c r="L12" i="26" s="1"/>
  <c r="AG9" i="27"/>
  <c r="L9" i="27" s="1"/>
  <c r="AG19" i="19"/>
  <c r="L19" i="19" s="1"/>
  <c r="AG32" i="21"/>
  <c r="L32" i="21" s="1"/>
  <c r="L27" i="22"/>
  <c r="L23" i="22"/>
  <c r="G45" i="25"/>
  <c r="L19" i="20"/>
  <c r="AG25" i="23"/>
  <c r="L25" i="23" s="1"/>
  <c r="AG11" i="24"/>
  <c r="L11" i="24" s="1"/>
  <c r="AG13" i="24"/>
  <c r="L13" i="24" s="1"/>
  <c r="L15" i="24"/>
  <c r="AG10" i="25"/>
  <c r="L10" i="25" s="1"/>
  <c r="L12" i="25"/>
  <c r="L14" i="25"/>
  <c r="L16" i="25"/>
  <c r="AG16" i="25"/>
  <c r="L26" i="25"/>
  <c r="L30" i="25"/>
  <c r="L32" i="25"/>
  <c r="AM27" i="26"/>
  <c r="V27" i="26" s="1"/>
  <c r="AN28" i="26"/>
  <c r="W28" i="26" s="1"/>
  <c r="AN33" i="26"/>
  <c r="W33" i="26" s="1"/>
  <c r="AJ17" i="27"/>
  <c r="AJ28" i="27"/>
  <c r="AG15" i="19"/>
  <c r="L15" i="19" s="1"/>
  <c r="AG23" i="20"/>
  <c r="L23" i="20" s="1"/>
  <c r="L33" i="22"/>
  <c r="AG25" i="6"/>
  <c r="L25" i="6" s="1"/>
  <c r="AG29" i="18"/>
  <c r="L29" i="18" s="1"/>
  <c r="L13" i="19"/>
  <c r="AG31" i="19"/>
  <c r="L31" i="19" s="1"/>
  <c r="AG14" i="20"/>
  <c r="L14" i="20" s="1"/>
  <c r="L18" i="22"/>
  <c r="AG9" i="26"/>
  <c r="L9" i="26" s="1"/>
  <c r="L21" i="26"/>
  <c r="AG26" i="17"/>
  <c r="L26" i="17" s="1"/>
  <c r="AG22" i="17"/>
  <c r="L22" i="17" s="1"/>
  <c r="L18" i="17"/>
  <c r="AG18" i="19"/>
  <c r="L18" i="19" s="1"/>
  <c r="AG14" i="19"/>
  <c r="L14" i="19" s="1"/>
  <c r="AG29" i="20"/>
  <c r="AG13" i="20"/>
  <c r="L13" i="20" s="1"/>
  <c r="AG34" i="22"/>
  <c r="L34" i="22"/>
  <c r="AG28" i="26"/>
  <c r="L28" i="26" s="1"/>
  <c r="AG16" i="26"/>
  <c r="L16" i="26" s="1"/>
  <c r="AG32" i="17"/>
  <c r="L32" i="17" s="1"/>
  <c r="AG34" i="17"/>
  <c r="L34" i="17" s="1"/>
  <c r="L8" i="18"/>
  <c r="M8" i="18" s="1"/>
  <c r="L25" i="19"/>
  <c r="AG9" i="23"/>
  <c r="L9" i="23" s="1"/>
  <c r="AG8" i="24"/>
  <c r="L8" i="24" s="1"/>
  <c r="AG19" i="24"/>
  <c r="L19" i="24" s="1"/>
  <c r="L20" i="26"/>
  <c r="AG20" i="26"/>
  <c r="L36" i="27"/>
  <c r="AG36" i="27"/>
  <c r="AG38" i="27"/>
  <c r="L38" i="27" s="1"/>
  <c r="M54" i="17"/>
  <c r="AG20" i="17"/>
  <c r="L20" i="17" s="1"/>
  <c r="AQ45" i="18"/>
  <c r="AQ46" i="18" s="1"/>
  <c r="L27" i="25"/>
  <c r="AG19" i="6"/>
  <c r="L19" i="6" s="1"/>
  <c r="G44" i="19"/>
  <c r="G44" i="21"/>
  <c r="L26" i="22"/>
  <c r="AG29" i="25"/>
  <c r="L29" i="25" s="1"/>
  <c r="L37" i="27"/>
  <c r="L25" i="27"/>
  <c r="AG29" i="6"/>
  <c r="L29" i="6" s="1"/>
  <c r="L8" i="17"/>
  <c r="AG13" i="17"/>
  <c r="L13" i="17"/>
  <c r="L23" i="17"/>
  <c r="AG14" i="18"/>
  <c r="L14" i="18" s="1"/>
  <c r="L16" i="18"/>
  <c r="AG35" i="18"/>
  <c r="L35" i="18" s="1"/>
  <c r="AG30" i="19"/>
  <c r="AG18" i="20"/>
  <c r="L18" i="20" s="1"/>
  <c r="AG30" i="20"/>
  <c r="L30" i="20" s="1"/>
  <c r="AG37" i="21"/>
  <c r="L37" i="21" s="1"/>
  <c r="L10" i="24"/>
  <c r="E43" i="26"/>
  <c r="L29" i="26"/>
  <c r="AG33" i="26"/>
  <c r="L33" i="26"/>
  <c r="M44" i="17"/>
  <c r="M56" i="25"/>
  <c r="M52" i="25"/>
  <c r="S52" i="25" s="1"/>
  <c r="G43" i="26"/>
  <c r="L24" i="17"/>
  <c r="AG28" i="17"/>
  <c r="L28" i="17" s="1"/>
  <c r="L35" i="17"/>
  <c r="L21" i="20"/>
  <c r="AQ44" i="26"/>
  <c r="AQ45" i="26" s="1"/>
  <c r="AG27" i="26"/>
  <c r="L27" i="26" s="1"/>
  <c r="L11" i="18"/>
  <c r="L30" i="19"/>
  <c r="AG33" i="20"/>
  <c r="L33" i="20" s="1"/>
  <c r="AG18" i="24"/>
  <c r="L18" i="24" s="1"/>
  <c r="AG35" i="26"/>
  <c r="L35" i="26" s="1"/>
  <c r="L23" i="26"/>
  <c r="AG26" i="19"/>
  <c r="L26" i="19" s="1"/>
  <c r="AG20" i="20"/>
  <c r="L20" i="20" s="1"/>
  <c r="AG28" i="21"/>
  <c r="L28" i="21" s="1"/>
  <c r="AG12" i="23"/>
  <c r="L12" i="23"/>
  <c r="L20" i="24"/>
  <c r="G43" i="24"/>
  <c r="E45" i="23"/>
  <c r="G42" i="17"/>
  <c r="M8" i="24" l="1"/>
  <c r="U8" i="24"/>
  <c r="Z46" i="22"/>
  <c r="AE49" i="22"/>
  <c r="Z44" i="17"/>
  <c r="AE46" i="17"/>
  <c r="M9" i="26"/>
  <c r="U9" i="26"/>
  <c r="M44" i="19"/>
  <c r="AE43" i="20"/>
  <c r="AK43" i="20"/>
  <c r="C11" i="19"/>
  <c r="B10" i="19"/>
  <c r="B12" i="26"/>
  <c r="C13" i="26"/>
  <c r="M44" i="26"/>
  <c r="M43" i="24"/>
  <c r="AG27" i="20"/>
  <c r="L27" i="20"/>
  <c r="M44" i="20"/>
  <c r="M43" i="19"/>
  <c r="C11" i="20"/>
  <c r="B10" i="20"/>
  <c r="S47" i="23"/>
  <c r="U9" i="25"/>
  <c r="U11" i="21"/>
  <c r="C13" i="18"/>
  <c r="B12" i="18"/>
  <c r="N10" i="24"/>
  <c r="U10" i="24"/>
  <c r="U12" i="6"/>
  <c r="N12" i="6"/>
  <c r="C16" i="23"/>
  <c r="B15" i="23"/>
  <c r="AE43" i="21"/>
  <c r="AE44" i="21"/>
  <c r="AE45" i="21"/>
  <c r="AE47" i="21" s="1"/>
  <c r="AE44" i="27"/>
  <c r="AE45" i="27"/>
  <c r="AE46" i="27"/>
  <c r="AE48" i="27" s="1"/>
  <c r="AE45" i="18"/>
  <c r="AE44" i="18"/>
  <c r="AE46" i="18" s="1"/>
  <c r="AE48" i="18" s="1"/>
  <c r="AE43" i="26"/>
  <c r="AE45" i="26" s="1"/>
  <c r="AE47" i="26" s="1"/>
  <c r="AE44" i="26"/>
  <c r="C16" i="22"/>
  <c r="B15" i="22"/>
  <c r="O9" i="6"/>
  <c r="S54" i="17"/>
  <c r="P8" i="20"/>
  <c r="M9" i="20"/>
  <c r="O8" i="20"/>
  <c r="B13" i="6"/>
  <c r="C14" i="6"/>
  <c r="U14" i="22"/>
  <c r="AG8" i="19"/>
  <c r="L8" i="19" s="1"/>
  <c r="M44" i="22"/>
  <c r="C11" i="25"/>
  <c r="B10" i="25"/>
  <c r="C13" i="21"/>
  <c r="B12" i="21"/>
  <c r="AE46" i="6"/>
  <c r="AE48" i="6" s="1"/>
  <c r="N11" i="18"/>
  <c r="U11" i="18"/>
  <c r="C12" i="24"/>
  <c r="B11" i="24"/>
  <c r="E46" i="23"/>
  <c r="E41" i="24" s="1"/>
  <c r="E45" i="24" s="1"/>
  <c r="E42" i="25" s="1"/>
  <c r="E46" i="25" s="1"/>
  <c r="E41" i="26" s="1"/>
  <c r="E45" i="26" s="1"/>
  <c r="E42" i="27" s="1"/>
  <c r="E46" i="27" s="1"/>
  <c r="U14" i="23"/>
  <c r="AE45" i="23"/>
  <c r="AE46" i="23" s="1"/>
  <c r="AE48" i="23" s="1"/>
  <c r="AE44" i="23"/>
  <c r="C17" i="17"/>
  <c r="B16" i="17"/>
  <c r="AE44" i="25"/>
  <c r="AE45" i="25"/>
  <c r="AE46" i="25"/>
  <c r="AE48" i="25" s="1"/>
  <c r="P8" i="6"/>
  <c r="O8" i="6"/>
  <c r="P9" i="6"/>
  <c r="AG17" i="20"/>
  <c r="L17" i="20"/>
  <c r="AG34" i="27"/>
  <c r="L34" i="27"/>
  <c r="N9" i="20"/>
  <c r="U9" i="20"/>
  <c r="N11" i="22"/>
  <c r="N12" i="22" s="1"/>
  <c r="N13" i="22" s="1"/>
  <c r="N14" i="22" s="1"/>
  <c r="U11" i="22"/>
  <c r="C14" i="27"/>
  <c r="B13" i="27"/>
  <c r="AE43" i="24"/>
  <c r="AE45" i="24" s="1"/>
  <c r="AE47" i="24" s="1"/>
  <c r="AE44" i="24"/>
  <c r="O8" i="18"/>
  <c r="M9" i="18"/>
  <c r="P8" i="18"/>
  <c r="AG16" i="20"/>
  <c r="L16" i="20" s="1"/>
  <c r="AK42" i="19"/>
  <c r="AE42" i="19"/>
  <c r="M10" i="22"/>
  <c r="P9" i="22"/>
  <c r="O9" i="22"/>
  <c r="U9" i="19"/>
  <c r="U11" i="26"/>
  <c r="N11" i="26"/>
  <c r="U12" i="27"/>
  <c r="AK44" i="22"/>
  <c r="U15" i="17"/>
  <c r="M11" i="6"/>
  <c r="O10" i="6"/>
  <c r="P10" i="6"/>
  <c r="M42" i="17"/>
  <c r="Z45" i="24" l="1"/>
  <c r="AE48" i="24"/>
  <c r="Z45" i="26"/>
  <c r="AE48" i="26"/>
  <c r="Z46" i="23"/>
  <c r="AE49" i="23"/>
  <c r="Z46" i="18"/>
  <c r="AE49" i="18"/>
  <c r="Z46" i="25"/>
  <c r="AE49" i="25"/>
  <c r="C12" i="25"/>
  <c r="B11" i="25"/>
  <c r="AE49" i="27"/>
  <c r="Z46" i="27"/>
  <c r="U10" i="19"/>
  <c r="M12" i="6"/>
  <c r="P11" i="6"/>
  <c r="O11" i="6"/>
  <c r="AE44" i="19"/>
  <c r="AE43" i="19"/>
  <c r="AE45" i="19" s="1"/>
  <c r="AE47" i="19" s="1"/>
  <c r="C13" i="24"/>
  <c r="B12" i="24"/>
  <c r="U12" i="21"/>
  <c r="B14" i="6"/>
  <c r="C15" i="6"/>
  <c r="B16" i="22"/>
  <c r="C17" i="22"/>
  <c r="N12" i="18"/>
  <c r="U12" i="18"/>
  <c r="B11" i="20"/>
  <c r="C12" i="20"/>
  <c r="C12" i="19"/>
  <c r="B11" i="19"/>
  <c r="U11" i="24"/>
  <c r="N11" i="24"/>
  <c r="N15" i="22"/>
  <c r="U15" i="22"/>
  <c r="U13" i="27"/>
  <c r="C14" i="21"/>
  <c r="B13" i="21"/>
  <c r="U13" i="6"/>
  <c r="N13" i="6"/>
  <c r="C14" i="18"/>
  <c r="B13" i="18"/>
  <c r="C14" i="26"/>
  <c r="B13" i="26"/>
  <c r="P9" i="26"/>
  <c r="M10" i="26"/>
  <c r="O9" i="26"/>
  <c r="M9" i="24"/>
  <c r="O8" i="24"/>
  <c r="P8" i="24"/>
  <c r="M11" i="22"/>
  <c r="O10" i="22"/>
  <c r="P10" i="22"/>
  <c r="C18" i="17"/>
  <c r="B17" i="17"/>
  <c r="AE49" i="6"/>
  <c r="Z46" i="6"/>
  <c r="P9" i="20"/>
  <c r="O9" i="20"/>
  <c r="M10" i="20"/>
  <c r="AE48" i="21"/>
  <c r="Z45" i="21"/>
  <c r="C17" i="23"/>
  <c r="B16" i="23"/>
  <c r="U10" i="20"/>
  <c r="N10" i="20"/>
  <c r="AK54" i="22"/>
  <c r="S54" i="22" s="1"/>
  <c r="AK55" i="22"/>
  <c r="S55" i="22" s="1"/>
  <c r="AK46" i="22"/>
  <c r="S45" i="22" s="1"/>
  <c r="AK45" i="22"/>
  <c r="S44" i="22" s="1"/>
  <c r="P9" i="18"/>
  <c r="O9" i="18"/>
  <c r="M10" i="18"/>
  <c r="C15" i="27"/>
  <c r="B14" i="27"/>
  <c r="U16" i="17"/>
  <c r="U10" i="25"/>
  <c r="U15" i="23"/>
  <c r="N12" i="26"/>
  <c r="U12" i="26"/>
  <c r="AE44" i="20"/>
  <c r="AE46" i="20" s="1"/>
  <c r="AE48" i="20" s="1"/>
  <c r="AE45" i="20"/>
  <c r="AK49" i="17"/>
  <c r="AK46" i="17"/>
  <c r="AK48" i="17"/>
  <c r="AK41" i="17"/>
  <c r="AK49" i="22"/>
  <c r="S56" i="22"/>
  <c r="AK51" i="22"/>
  <c r="AK52" i="22"/>
  <c r="AE48" i="19" l="1"/>
  <c r="Z45" i="19"/>
  <c r="AE49" i="20"/>
  <c r="Z46" i="20"/>
  <c r="M12" i="22"/>
  <c r="O11" i="22"/>
  <c r="P11" i="22"/>
  <c r="U11" i="20"/>
  <c r="N11" i="20"/>
  <c r="B15" i="27"/>
  <c r="C16" i="27"/>
  <c r="B18" i="17"/>
  <c r="C19" i="17"/>
  <c r="M11" i="26"/>
  <c r="P10" i="26"/>
  <c r="O10" i="26"/>
  <c r="C15" i="26"/>
  <c r="B14" i="26"/>
  <c r="N13" i="18"/>
  <c r="U13" i="18"/>
  <c r="U13" i="21"/>
  <c r="U11" i="19"/>
  <c r="C16" i="6"/>
  <c r="B15" i="6"/>
  <c r="U11" i="25"/>
  <c r="AK51" i="23"/>
  <c r="AK52" i="23"/>
  <c r="S56" i="23"/>
  <c r="AK49" i="23"/>
  <c r="AK44" i="23"/>
  <c r="C18" i="23"/>
  <c r="B17" i="23"/>
  <c r="U13" i="26"/>
  <c r="N13" i="26"/>
  <c r="M11" i="18"/>
  <c r="P10" i="18"/>
  <c r="O10" i="18"/>
  <c r="AK48" i="21"/>
  <c r="AK50" i="21"/>
  <c r="AK51" i="21"/>
  <c r="S55" i="21"/>
  <c r="AK43" i="21"/>
  <c r="B14" i="18"/>
  <c r="C15" i="18"/>
  <c r="C15" i="21"/>
  <c r="B14" i="21"/>
  <c r="C13" i="19"/>
  <c r="B12" i="19"/>
  <c r="N14" i="6"/>
  <c r="U14" i="6"/>
  <c r="U12" i="24"/>
  <c r="N12" i="24"/>
  <c r="B12" i="25"/>
  <c r="C13" i="25"/>
  <c r="AK50" i="24"/>
  <c r="AK51" i="24"/>
  <c r="AK48" i="24"/>
  <c r="S55" i="24"/>
  <c r="AK43" i="24"/>
  <c r="U14" i="27"/>
  <c r="U17" i="17"/>
  <c r="N16" i="22"/>
  <c r="U16" i="22"/>
  <c r="O12" i="6"/>
  <c r="P12" i="6"/>
  <c r="M13" i="6"/>
  <c r="AK49" i="27"/>
  <c r="AK52" i="27"/>
  <c r="S56" i="27"/>
  <c r="AK51" i="27"/>
  <c r="AK44" i="27"/>
  <c r="AK52" i="17"/>
  <c r="S53" i="17" s="1"/>
  <c r="AK51" i="17"/>
  <c r="S52" i="17" s="1"/>
  <c r="AK42" i="17"/>
  <c r="S42" i="17" s="1"/>
  <c r="AK43" i="17"/>
  <c r="S43" i="17" s="1"/>
  <c r="U16" i="23"/>
  <c r="M11" i="20"/>
  <c r="O10" i="20"/>
  <c r="P10" i="20"/>
  <c r="S56" i="6"/>
  <c r="AK44" i="6"/>
  <c r="AK51" i="6"/>
  <c r="AK49" i="6"/>
  <c r="AK52" i="6"/>
  <c r="M10" i="24"/>
  <c r="P9" i="24"/>
  <c r="O9" i="24"/>
  <c r="C13" i="20"/>
  <c r="B12" i="20"/>
  <c r="B17" i="22"/>
  <c r="C18" i="22"/>
  <c r="C14" i="24"/>
  <c r="B13" i="24"/>
  <c r="AK49" i="25"/>
  <c r="AK52" i="25"/>
  <c r="AK51" i="25"/>
  <c r="AK44" i="25"/>
  <c r="S56" i="25"/>
  <c r="S56" i="18"/>
  <c r="AK52" i="18"/>
  <c r="AK49" i="18"/>
  <c r="AK51" i="18"/>
  <c r="AK44" i="18"/>
  <c r="AK51" i="26"/>
  <c r="AK50" i="26"/>
  <c r="AK48" i="26"/>
  <c r="S55" i="26"/>
  <c r="AK43" i="26"/>
  <c r="N17" i="22" l="1"/>
  <c r="U17" i="22"/>
  <c r="AK54" i="27"/>
  <c r="S54" i="27" s="1"/>
  <c r="AK55" i="27"/>
  <c r="S55" i="27" s="1"/>
  <c r="AK46" i="27"/>
  <c r="S45" i="27" s="1"/>
  <c r="AK45" i="27"/>
  <c r="S44" i="27" s="1"/>
  <c r="B13" i="25"/>
  <c r="C14" i="25"/>
  <c r="U14" i="21"/>
  <c r="AK45" i="21"/>
  <c r="S44" i="21" s="1"/>
  <c r="AK53" i="21"/>
  <c r="S53" i="21" s="1"/>
  <c r="AK54" i="21"/>
  <c r="S54" i="21" s="1"/>
  <c r="AK44" i="21"/>
  <c r="S43" i="21" s="1"/>
  <c r="AK55" i="23"/>
  <c r="S55" i="23" s="1"/>
  <c r="AK54" i="23"/>
  <c r="S54" i="23" s="1"/>
  <c r="AK45" i="23"/>
  <c r="S44" i="23" s="1"/>
  <c r="AK46" i="23"/>
  <c r="S45" i="23" s="1"/>
  <c r="C17" i="6"/>
  <c r="B16" i="6"/>
  <c r="B15" i="26"/>
  <c r="C16" i="26"/>
  <c r="C20" i="17"/>
  <c r="B19" i="17"/>
  <c r="M13" i="22"/>
  <c r="P12" i="22"/>
  <c r="O12" i="22"/>
  <c r="AK49" i="20"/>
  <c r="S56" i="20"/>
  <c r="AK51" i="20"/>
  <c r="AK52" i="20"/>
  <c r="AK44" i="20"/>
  <c r="AK46" i="18"/>
  <c r="S45" i="18" s="1"/>
  <c r="AK54" i="18"/>
  <c r="S54" i="18" s="1"/>
  <c r="AK55" i="18"/>
  <c r="S55" i="18" s="1"/>
  <c r="AK45" i="18"/>
  <c r="S44" i="18" s="1"/>
  <c r="U14" i="18"/>
  <c r="N14" i="18"/>
  <c r="O11" i="18"/>
  <c r="P11" i="18"/>
  <c r="M12" i="18"/>
  <c r="O11" i="26"/>
  <c r="M12" i="26"/>
  <c r="P11" i="26"/>
  <c r="U13" i="24"/>
  <c r="N13" i="24"/>
  <c r="N12" i="20"/>
  <c r="U12" i="20"/>
  <c r="P10" i="24"/>
  <c r="M11" i="24"/>
  <c r="O10" i="24"/>
  <c r="AK55" i="6"/>
  <c r="S55" i="6" s="1"/>
  <c r="AK45" i="6"/>
  <c r="S44" i="6" s="1"/>
  <c r="AK46" i="6"/>
  <c r="S45" i="6" s="1"/>
  <c r="AK54" i="6"/>
  <c r="S54" i="6" s="1"/>
  <c r="M12" i="20"/>
  <c r="P11" i="20"/>
  <c r="O11" i="20"/>
  <c r="M14" i="6"/>
  <c r="O13" i="6"/>
  <c r="P13" i="6"/>
  <c r="U12" i="25"/>
  <c r="C16" i="21"/>
  <c r="B15" i="21"/>
  <c r="U18" i="17"/>
  <c r="S55" i="19"/>
  <c r="AK51" i="19"/>
  <c r="AK50" i="19"/>
  <c r="AK48" i="19"/>
  <c r="AK43" i="19"/>
  <c r="B18" i="22"/>
  <c r="C19" i="22"/>
  <c r="AK45" i="24"/>
  <c r="S44" i="24" s="1"/>
  <c r="AK54" i="24"/>
  <c r="S54" i="24" s="1"/>
  <c r="AK53" i="24"/>
  <c r="S53" i="24" s="1"/>
  <c r="AK44" i="24"/>
  <c r="S43" i="24" s="1"/>
  <c r="C14" i="19"/>
  <c r="B13" i="19"/>
  <c r="C19" i="23"/>
  <c r="B18" i="23"/>
  <c r="N15" i="6"/>
  <c r="U15" i="6"/>
  <c r="U14" i="26"/>
  <c r="N14" i="26"/>
  <c r="U15" i="27"/>
  <c r="AK46" i="25"/>
  <c r="S45" i="25" s="1"/>
  <c r="AK54" i="25"/>
  <c r="S54" i="25" s="1"/>
  <c r="AK55" i="25"/>
  <c r="S55" i="25" s="1"/>
  <c r="AK45" i="25"/>
  <c r="S44" i="25" s="1"/>
  <c r="AK53" i="26"/>
  <c r="S53" i="26" s="1"/>
  <c r="AK44" i="26"/>
  <c r="S43" i="26" s="1"/>
  <c r="AK54" i="26"/>
  <c r="S54" i="26" s="1"/>
  <c r="AK45" i="26"/>
  <c r="S44" i="26" s="1"/>
  <c r="C15" i="24"/>
  <c r="B14" i="24"/>
  <c r="B13" i="20"/>
  <c r="C14" i="20"/>
  <c r="U12" i="19"/>
  <c r="C16" i="18"/>
  <c r="B15" i="18"/>
  <c r="U17" i="23"/>
  <c r="B16" i="27"/>
  <c r="C17" i="27"/>
  <c r="U18" i="23" l="1"/>
  <c r="C20" i="22"/>
  <c r="B19" i="22"/>
  <c r="B16" i="21"/>
  <c r="C17" i="21"/>
  <c r="O12" i="20"/>
  <c r="P12" i="20"/>
  <c r="M13" i="20"/>
  <c r="AK46" i="20"/>
  <c r="S45" i="20" s="1"/>
  <c r="AK54" i="20"/>
  <c r="S54" i="20" s="1"/>
  <c r="AK45" i="20"/>
  <c r="S44" i="20" s="1"/>
  <c r="AK55" i="20"/>
  <c r="S55" i="20" s="1"/>
  <c r="U19" i="17"/>
  <c r="O12" i="26"/>
  <c r="M13" i="26"/>
  <c r="P12" i="26"/>
  <c r="B20" i="17"/>
  <c r="C21" i="17"/>
  <c r="N16" i="6"/>
  <c r="U16" i="6"/>
  <c r="C15" i="25"/>
  <c r="B14" i="25"/>
  <c r="U16" i="27"/>
  <c r="C17" i="18"/>
  <c r="B16" i="18"/>
  <c r="U13" i="19"/>
  <c r="AK54" i="19"/>
  <c r="S54" i="19" s="1"/>
  <c r="AK44" i="19"/>
  <c r="S43" i="19" s="1"/>
  <c r="AK45" i="19"/>
  <c r="S44" i="19" s="1"/>
  <c r="AK53" i="19"/>
  <c r="S53" i="19" s="1"/>
  <c r="O11" i="24"/>
  <c r="P11" i="24"/>
  <c r="M12" i="24"/>
  <c r="B16" i="26"/>
  <c r="C17" i="26"/>
  <c r="B17" i="6"/>
  <c r="C18" i="6"/>
  <c r="U13" i="25"/>
  <c r="C18" i="27"/>
  <c r="B17" i="27"/>
  <c r="N14" i="24"/>
  <c r="U14" i="24"/>
  <c r="N15" i="18"/>
  <c r="U15" i="18"/>
  <c r="B15" i="24"/>
  <c r="C16" i="24"/>
  <c r="C20" i="23"/>
  <c r="B19" i="23"/>
  <c r="N18" i="22"/>
  <c r="U18" i="22"/>
  <c r="O14" i="6"/>
  <c r="M15" i="6"/>
  <c r="P14" i="6"/>
  <c r="C15" i="20"/>
  <c r="B14" i="20"/>
  <c r="U13" i="20"/>
  <c r="N13" i="20"/>
  <c r="B14" i="19"/>
  <c r="C15" i="19"/>
  <c r="U15" i="21"/>
  <c r="O12" i="18"/>
  <c r="P12" i="18"/>
  <c r="M13" i="18"/>
  <c r="M14" i="22"/>
  <c r="P13" i="22"/>
  <c r="O13" i="22"/>
  <c r="U15" i="26"/>
  <c r="N15" i="26"/>
  <c r="B18" i="27" l="1"/>
  <c r="C19" i="27"/>
  <c r="N17" i="6"/>
  <c r="U17" i="6"/>
  <c r="U14" i="19"/>
  <c r="C16" i="20"/>
  <c r="B15" i="20"/>
  <c r="B16" i="24"/>
  <c r="C17" i="24"/>
  <c r="C18" i="26"/>
  <c r="B17" i="26"/>
  <c r="U16" i="18"/>
  <c r="N16" i="18"/>
  <c r="M14" i="26"/>
  <c r="P13" i="26"/>
  <c r="O13" i="26"/>
  <c r="M14" i="20"/>
  <c r="P13" i="20"/>
  <c r="O13" i="20"/>
  <c r="U16" i="21"/>
  <c r="C16" i="19"/>
  <c r="B15" i="19"/>
  <c r="O14" i="22"/>
  <c r="P14" i="22"/>
  <c r="M15" i="22"/>
  <c r="U15" i="24"/>
  <c r="N15" i="24"/>
  <c r="U16" i="26"/>
  <c r="N16" i="26"/>
  <c r="B17" i="18"/>
  <c r="C18" i="18"/>
  <c r="U14" i="25"/>
  <c r="B21" i="17"/>
  <c r="C22" i="17"/>
  <c r="U19" i="22"/>
  <c r="N19" i="22"/>
  <c r="N14" i="20"/>
  <c r="U14" i="20"/>
  <c r="C21" i="23"/>
  <c r="B20" i="23"/>
  <c r="C18" i="21"/>
  <c r="B17" i="21"/>
  <c r="P13" i="18"/>
  <c r="O13" i="18"/>
  <c r="M14" i="18"/>
  <c r="P15" i="6"/>
  <c r="M16" i="6"/>
  <c r="O15" i="6"/>
  <c r="U19" i="23"/>
  <c r="U17" i="27"/>
  <c r="B18" i="6"/>
  <c r="C19" i="6"/>
  <c r="O12" i="24"/>
  <c r="P12" i="24"/>
  <c r="M13" i="24"/>
  <c r="C16" i="25"/>
  <c r="B15" i="25"/>
  <c r="U20" i="17"/>
  <c r="C21" i="22"/>
  <c r="B20" i="22"/>
  <c r="B21" i="22" l="1"/>
  <c r="C22" i="22"/>
  <c r="C20" i="6"/>
  <c r="B19" i="6"/>
  <c r="M14" i="24"/>
  <c r="P13" i="24"/>
  <c r="O13" i="24"/>
  <c r="N18" i="6"/>
  <c r="U18" i="6"/>
  <c r="U17" i="21"/>
  <c r="B22" i="17"/>
  <c r="C23" i="17"/>
  <c r="C19" i="18"/>
  <c r="B18" i="18"/>
  <c r="M15" i="20"/>
  <c r="P14" i="20"/>
  <c r="O14" i="20"/>
  <c r="C19" i="26"/>
  <c r="B18" i="26"/>
  <c r="C17" i="20"/>
  <c r="B16" i="20"/>
  <c r="C17" i="25"/>
  <c r="B16" i="25"/>
  <c r="C22" i="23"/>
  <c r="B21" i="23"/>
  <c r="M16" i="22"/>
  <c r="P15" i="22"/>
  <c r="O15" i="22"/>
  <c r="N15" i="20"/>
  <c r="U15" i="20"/>
  <c r="M15" i="18"/>
  <c r="P14" i="18"/>
  <c r="O14" i="18"/>
  <c r="B18" i="21"/>
  <c r="C19" i="21"/>
  <c r="U21" i="17"/>
  <c r="N17" i="18"/>
  <c r="U17" i="18"/>
  <c r="B17" i="24"/>
  <c r="C18" i="24"/>
  <c r="C20" i="27"/>
  <c r="B19" i="27"/>
  <c r="C17" i="19"/>
  <c r="B16" i="19"/>
  <c r="O14" i="26"/>
  <c r="M15" i="26"/>
  <c r="P14" i="26"/>
  <c r="U17" i="26"/>
  <c r="N17" i="26"/>
  <c r="N20" i="22"/>
  <c r="U20" i="22"/>
  <c r="U15" i="25"/>
  <c r="M17" i="6"/>
  <c r="P16" i="6"/>
  <c r="O16" i="6"/>
  <c r="U20" i="23"/>
  <c r="U15" i="19"/>
  <c r="N16" i="24"/>
  <c r="U16" i="24"/>
  <c r="U18" i="27"/>
  <c r="M18" i="6" l="1"/>
  <c r="P17" i="6"/>
  <c r="O17" i="6"/>
  <c r="B19" i="21"/>
  <c r="C20" i="21"/>
  <c r="M16" i="20"/>
  <c r="P15" i="20"/>
  <c r="O15" i="20"/>
  <c r="U22" i="17"/>
  <c r="C21" i="27"/>
  <c r="B20" i="27"/>
  <c r="U18" i="21"/>
  <c r="M17" i="22"/>
  <c r="P16" i="22"/>
  <c r="O16" i="22"/>
  <c r="B17" i="25"/>
  <c r="C18" i="25"/>
  <c r="B19" i="26"/>
  <c r="C20" i="26"/>
  <c r="U18" i="18"/>
  <c r="N18" i="18"/>
  <c r="B20" i="6"/>
  <c r="C21" i="6"/>
  <c r="U19" i="27"/>
  <c r="U16" i="25"/>
  <c r="U16" i="19"/>
  <c r="B18" i="24"/>
  <c r="C19" i="24"/>
  <c r="U21" i="23"/>
  <c r="N16" i="20"/>
  <c r="U16" i="20"/>
  <c r="B19" i="18"/>
  <c r="C20" i="18"/>
  <c r="B22" i="22"/>
  <c r="C23" i="22"/>
  <c r="M16" i="26"/>
  <c r="P15" i="26"/>
  <c r="O15" i="26"/>
  <c r="M16" i="18"/>
  <c r="O15" i="18"/>
  <c r="P15" i="18"/>
  <c r="U18" i="26"/>
  <c r="N18" i="26"/>
  <c r="U19" i="6"/>
  <c r="N19" i="6"/>
  <c r="C18" i="19"/>
  <c r="B17" i="19"/>
  <c r="U17" i="24"/>
  <c r="N17" i="24"/>
  <c r="B22" i="23"/>
  <c r="C23" i="23"/>
  <c r="B17" i="20"/>
  <c r="C18" i="20"/>
  <c r="C24" i="17"/>
  <c r="B23" i="17"/>
  <c r="P14" i="24"/>
  <c r="O14" i="24"/>
  <c r="M15" i="24"/>
  <c r="U21" i="22"/>
  <c r="N21" i="22"/>
  <c r="U22" i="23" l="1"/>
  <c r="C19" i="19"/>
  <c r="B18" i="19"/>
  <c r="U22" i="22"/>
  <c r="N22" i="22"/>
  <c r="U18" i="24"/>
  <c r="N18" i="24"/>
  <c r="U19" i="26"/>
  <c r="N19" i="26"/>
  <c r="U20" i="27"/>
  <c r="U19" i="21"/>
  <c r="C19" i="20"/>
  <c r="B18" i="20"/>
  <c r="B20" i="18"/>
  <c r="C21" i="18"/>
  <c r="B18" i="25"/>
  <c r="C19" i="25"/>
  <c r="M18" i="22"/>
  <c r="O17" i="22"/>
  <c r="P17" i="22"/>
  <c r="B21" i="27"/>
  <c r="C22" i="27"/>
  <c r="C25" i="17"/>
  <c r="B24" i="17"/>
  <c r="P16" i="26"/>
  <c r="M17" i="26"/>
  <c r="O16" i="26"/>
  <c r="N19" i="18"/>
  <c r="U19" i="18"/>
  <c r="U17" i="25"/>
  <c r="O16" i="20"/>
  <c r="P16" i="20"/>
  <c r="M17" i="20"/>
  <c r="P15" i="24"/>
  <c r="M16" i="24"/>
  <c r="O15" i="24"/>
  <c r="U20" i="6"/>
  <c r="N20" i="6"/>
  <c r="U17" i="20"/>
  <c r="N17" i="20"/>
  <c r="U23" i="17"/>
  <c r="B23" i="23"/>
  <c r="C24" i="23"/>
  <c r="U17" i="19"/>
  <c r="M17" i="18"/>
  <c r="O16" i="18"/>
  <c r="P16" i="18"/>
  <c r="C24" i="22"/>
  <c r="B23" i="22"/>
  <c r="C20" i="24"/>
  <c r="B19" i="24"/>
  <c r="B21" i="6"/>
  <c r="C22" i="6"/>
  <c r="C21" i="26"/>
  <c r="B20" i="26"/>
  <c r="C21" i="21"/>
  <c r="B20" i="21"/>
  <c r="M19" i="6"/>
  <c r="O18" i="6"/>
  <c r="P18" i="6"/>
  <c r="U20" i="21" l="1"/>
  <c r="C23" i="6"/>
  <c r="B22" i="6"/>
  <c r="N23" i="22"/>
  <c r="U23" i="22"/>
  <c r="P17" i="18"/>
  <c r="O17" i="18"/>
  <c r="M18" i="18"/>
  <c r="U23" i="23"/>
  <c r="O16" i="24"/>
  <c r="M17" i="24"/>
  <c r="P16" i="24"/>
  <c r="U24" i="17"/>
  <c r="U18" i="25"/>
  <c r="C20" i="20"/>
  <c r="B19" i="20"/>
  <c r="C20" i="19"/>
  <c r="B19" i="19"/>
  <c r="M20" i="6"/>
  <c r="O19" i="6"/>
  <c r="P19" i="6"/>
  <c r="C21" i="24"/>
  <c r="B20" i="24"/>
  <c r="N18" i="20"/>
  <c r="U18" i="20"/>
  <c r="C22" i="21"/>
  <c r="B21" i="21"/>
  <c r="U21" i="6"/>
  <c r="N21" i="6"/>
  <c r="C25" i="22"/>
  <c r="B24" i="22"/>
  <c r="C26" i="17"/>
  <c r="B25" i="17"/>
  <c r="C22" i="18"/>
  <c r="B21" i="18"/>
  <c r="C22" i="26"/>
  <c r="B21" i="26"/>
  <c r="B24" i="23"/>
  <c r="C25" i="23"/>
  <c r="U21" i="27"/>
  <c r="B19" i="25"/>
  <c r="C20" i="25"/>
  <c r="U18" i="19"/>
  <c r="U20" i="26"/>
  <c r="N20" i="26"/>
  <c r="U19" i="24"/>
  <c r="N19" i="24"/>
  <c r="O17" i="20"/>
  <c r="P17" i="20"/>
  <c r="M18" i="20"/>
  <c r="P17" i="26"/>
  <c r="O17" i="26"/>
  <c r="M18" i="26"/>
  <c r="C23" i="27"/>
  <c r="B22" i="27"/>
  <c r="P18" i="22"/>
  <c r="M19" i="22"/>
  <c r="O18" i="22"/>
  <c r="U20" i="18"/>
  <c r="N20" i="18"/>
  <c r="B22" i="26" l="1"/>
  <c r="C23" i="26"/>
  <c r="B26" i="17"/>
  <c r="C27" i="17"/>
  <c r="N22" i="6"/>
  <c r="U22" i="6"/>
  <c r="M20" i="22"/>
  <c r="P19" i="22"/>
  <c r="O19" i="22"/>
  <c r="P18" i="26"/>
  <c r="M19" i="26"/>
  <c r="O18" i="26"/>
  <c r="C21" i="25"/>
  <c r="B20" i="25"/>
  <c r="B25" i="23"/>
  <c r="C26" i="23"/>
  <c r="N21" i="18"/>
  <c r="U21" i="18"/>
  <c r="N24" i="22"/>
  <c r="U24" i="22"/>
  <c r="U21" i="21"/>
  <c r="N20" i="24"/>
  <c r="U20" i="24"/>
  <c r="M21" i="6"/>
  <c r="P20" i="6"/>
  <c r="O20" i="6"/>
  <c r="B20" i="20"/>
  <c r="C21" i="20"/>
  <c r="B23" i="6"/>
  <c r="C24" i="6"/>
  <c r="U19" i="20"/>
  <c r="N19" i="20"/>
  <c r="U19" i="25"/>
  <c r="U24" i="23"/>
  <c r="B22" i="18"/>
  <c r="C23" i="18"/>
  <c r="B25" i="22"/>
  <c r="C26" i="22"/>
  <c r="C23" i="21"/>
  <c r="B22" i="21"/>
  <c r="C22" i="24"/>
  <c r="B21" i="24"/>
  <c r="U19" i="19"/>
  <c r="B23" i="27"/>
  <c r="C24" i="27"/>
  <c r="P18" i="20"/>
  <c r="O18" i="20"/>
  <c r="M19" i="20"/>
  <c r="U22" i="27"/>
  <c r="N21" i="26"/>
  <c r="U21" i="26"/>
  <c r="U25" i="17"/>
  <c r="C21" i="19"/>
  <c r="B20" i="19"/>
  <c r="P17" i="24"/>
  <c r="M18" i="24"/>
  <c r="O17" i="24"/>
  <c r="O18" i="18"/>
  <c r="M19" i="18"/>
  <c r="P18" i="18"/>
  <c r="U20" i="19" l="1"/>
  <c r="U23" i="27"/>
  <c r="U25" i="22"/>
  <c r="N25" i="22"/>
  <c r="C27" i="23"/>
  <c r="B26" i="23"/>
  <c r="B27" i="17"/>
  <c r="C28" i="17"/>
  <c r="B21" i="19"/>
  <c r="C22" i="19"/>
  <c r="U22" i="21"/>
  <c r="C24" i="18"/>
  <c r="B23" i="18"/>
  <c r="B24" i="6"/>
  <c r="C25" i="6"/>
  <c r="U25" i="23"/>
  <c r="O19" i="26"/>
  <c r="M20" i="26"/>
  <c r="P19" i="26"/>
  <c r="P20" i="22"/>
  <c r="M21" i="22"/>
  <c r="O20" i="22"/>
  <c r="U26" i="17"/>
  <c r="B22" i="24"/>
  <c r="C23" i="24"/>
  <c r="U20" i="20"/>
  <c r="N20" i="20"/>
  <c r="P18" i="24"/>
  <c r="M19" i="24"/>
  <c r="O18" i="24"/>
  <c r="B23" i="21"/>
  <c r="C24" i="21"/>
  <c r="N22" i="18"/>
  <c r="U22" i="18"/>
  <c r="U23" i="6"/>
  <c r="N23" i="6"/>
  <c r="U20" i="25"/>
  <c r="C24" i="26"/>
  <c r="B23" i="26"/>
  <c r="M20" i="20"/>
  <c r="P19" i="20"/>
  <c r="O19" i="20"/>
  <c r="O19" i="18"/>
  <c r="M20" i="18"/>
  <c r="P19" i="18"/>
  <c r="B24" i="27"/>
  <c r="C25" i="27"/>
  <c r="N21" i="24"/>
  <c r="U21" i="24"/>
  <c r="C27" i="22"/>
  <c r="B26" i="22"/>
  <c r="B21" i="20"/>
  <c r="C22" i="20"/>
  <c r="M22" i="6"/>
  <c r="P21" i="6"/>
  <c r="O21" i="6"/>
  <c r="C22" i="25"/>
  <c r="B21" i="25"/>
  <c r="N22" i="26"/>
  <c r="U22" i="26"/>
  <c r="P22" i="6" l="1"/>
  <c r="O22" i="6"/>
  <c r="M23" i="6"/>
  <c r="C28" i="22"/>
  <c r="B27" i="22"/>
  <c r="C25" i="26"/>
  <c r="B24" i="26"/>
  <c r="U23" i="21"/>
  <c r="C23" i="25"/>
  <c r="B22" i="25"/>
  <c r="C23" i="20"/>
  <c r="B22" i="20"/>
  <c r="C25" i="18"/>
  <c r="B24" i="18"/>
  <c r="U21" i="19"/>
  <c r="C28" i="23"/>
  <c r="B27" i="23"/>
  <c r="U21" i="25"/>
  <c r="U24" i="27"/>
  <c r="U23" i="18"/>
  <c r="N23" i="18"/>
  <c r="C23" i="19"/>
  <c r="B22" i="19"/>
  <c r="U26" i="23"/>
  <c r="N21" i="20"/>
  <c r="U21" i="20"/>
  <c r="P20" i="18"/>
  <c r="O20" i="18"/>
  <c r="M21" i="18"/>
  <c r="M21" i="20"/>
  <c r="P20" i="20"/>
  <c r="O20" i="20"/>
  <c r="M20" i="24"/>
  <c r="O19" i="24"/>
  <c r="P19" i="24"/>
  <c r="C24" i="24"/>
  <c r="B23" i="24"/>
  <c r="O20" i="26"/>
  <c r="P20" i="26"/>
  <c r="M21" i="26"/>
  <c r="C26" i="6"/>
  <c r="B25" i="6"/>
  <c r="B28" i="17"/>
  <c r="C29" i="17"/>
  <c r="N26" i="22"/>
  <c r="U26" i="22"/>
  <c r="B25" i="27"/>
  <c r="C26" i="27"/>
  <c r="N23" i="26"/>
  <c r="U23" i="26"/>
  <c r="C25" i="21"/>
  <c r="B24" i="21"/>
  <c r="U22" i="24"/>
  <c r="N22" i="24"/>
  <c r="M22" i="22"/>
  <c r="O21" i="22"/>
  <c r="P21" i="22"/>
  <c r="U24" i="6"/>
  <c r="N24" i="6"/>
  <c r="U27" i="17"/>
  <c r="O21" i="20" l="1"/>
  <c r="P21" i="20"/>
  <c r="M22" i="20"/>
  <c r="U22" i="19"/>
  <c r="U27" i="23"/>
  <c r="U22" i="25"/>
  <c r="P23" i="6"/>
  <c r="O23" i="6"/>
  <c r="M24" i="6"/>
  <c r="B26" i="6"/>
  <c r="C27" i="6"/>
  <c r="M21" i="24"/>
  <c r="P20" i="24"/>
  <c r="O20" i="24"/>
  <c r="B23" i="19"/>
  <c r="C24" i="19"/>
  <c r="B25" i="18"/>
  <c r="C26" i="18"/>
  <c r="U24" i="21"/>
  <c r="B29" i="17"/>
  <c r="C30" i="17"/>
  <c r="O22" i="22"/>
  <c r="M23" i="22"/>
  <c r="P22" i="22"/>
  <c r="B25" i="21"/>
  <c r="C26" i="21"/>
  <c r="U25" i="27"/>
  <c r="U28" i="17"/>
  <c r="B23" i="20"/>
  <c r="C24" i="20"/>
  <c r="B28" i="22"/>
  <c r="C29" i="22"/>
  <c r="N25" i="6"/>
  <c r="U25" i="6"/>
  <c r="N24" i="18"/>
  <c r="U24" i="18"/>
  <c r="U24" i="26"/>
  <c r="N24" i="26"/>
  <c r="U23" i="24"/>
  <c r="N23" i="24"/>
  <c r="M22" i="18"/>
  <c r="P21" i="18"/>
  <c r="O21" i="18"/>
  <c r="C29" i="23"/>
  <c r="B28" i="23"/>
  <c r="B23" i="25"/>
  <c r="C24" i="25"/>
  <c r="C26" i="26"/>
  <c r="B25" i="26"/>
  <c r="C27" i="27"/>
  <c r="B26" i="27"/>
  <c r="P21" i="26"/>
  <c r="M22" i="26"/>
  <c r="O21" i="26"/>
  <c r="B24" i="24"/>
  <c r="C25" i="24"/>
  <c r="U22" i="20"/>
  <c r="N22" i="20"/>
  <c r="U27" i="22"/>
  <c r="N27" i="22"/>
  <c r="C28" i="27" l="1"/>
  <c r="B27" i="27"/>
  <c r="U23" i="25"/>
  <c r="C25" i="20"/>
  <c r="B24" i="20"/>
  <c r="U29" i="17"/>
  <c r="U25" i="18"/>
  <c r="N25" i="18"/>
  <c r="M25" i="6"/>
  <c r="O24" i="6"/>
  <c r="P24" i="6"/>
  <c r="M23" i="26"/>
  <c r="O22" i="26"/>
  <c r="P22" i="26"/>
  <c r="U28" i="23"/>
  <c r="B24" i="19"/>
  <c r="C25" i="19"/>
  <c r="M22" i="24"/>
  <c r="O21" i="24"/>
  <c r="P21" i="24"/>
  <c r="M23" i="20"/>
  <c r="P22" i="20"/>
  <c r="O22" i="20"/>
  <c r="C26" i="24"/>
  <c r="B25" i="24"/>
  <c r="C27" i="26"/>
  <c r="B26" i="26"/>
  <c r="C30" i="23"/>
  <c r="B29" i="23"/>
  <c r="C30" i="22"/>
  <c r="B29" i="22"/>
  <c r="C27" i="21"/>
  <c r="B26" i="21"/>
  <c r="U23" i="19"/>
  <c r="C28" i="6"/>
  <c r="B27" i="6"/>
  <c r="U25" i="26"/>
  <c r="N25" i="26"/>
  <c r="M23" i="18"/>
  <c r="P22" i="18"/>
  <c r="O22" i="18"/>
  <c r="U23" i="20"/>
  <c r="N23" i="20"/>
  <c r="O23" i="22"/>
  <c r="M24" i="22"/>
  <c r="P23" i="22"/>
  <c r="N24" i="24"/>
  <c r="U24" i="24"/>
  <c r="U26" i="27"/>
  <c r="C25" i="25"/>
  <c r="B24" i="25"/>
  <c r="U28" i="22"/>
  <c r="N28" i="22"/>
  <c r="U25" i="21"/>
  <c r="B30" i="17"/>
  <c r="C31" i="17"/>
  <c r="C27" i="18"/>
  <c r="B26" i="18"/>
  <c r="N26" i="6"/>
  <c r="U26" i="6"/>
  <c r="C28" i="18" l="1"/>
  <c r="B27" i="18"/>
  <c r="C31" i="23"/>
  <c r="B30" i="23"/>
  <c r="U24" i="19"/>
  <c r="U29" i="22"/>
  <c r="N29" i="22"/>
  <c r="M24" i="26"/>
  <c r="O23" i="26"/>
  <c r="P23" i="26"/>
  <c r="U24" i="20"/>
  <c r="N24" i="20"/>
  <c r="U27" i="27"/>
  <c r="U30" i="17"/>
  <c r="O24" i="22"/>
  <c r="M25" i="22"/>
  <c r="P24" i="22"/>
  <c r="B30" i="22"/>
  <c r="C31" i="22"/>
  <c r="C28" i="26"/>
  <c r="B27" i="26"/>
  <c r="P22" i="24"/>
  <c r="M23" i="24"/>
  <c r="O22" i="24"/>
  <c r="C26" i="20"/>
  <c r="B25" i="20"/>
  <c r="C29" i="27"/>
  <c r="B28" i="27"/>
  <c r="N26" i="18"/>
  <c r="U26" i="18"/>
  <c r="U24" i="25"/>
  <c r="U27" i="6"/>
  <c r="N27" i="6"/>
  <c r="U26" i="21"/>
  <c r="U29" i="23"/>
  <c r="U25" i="24"/>
  <c r="N25" i="24"/>
  <c r="P23" i="20"/>
  <c r="O23" i="20"/>
  <c r="M24" i="20"/>
  <c r="B25" i="19"/>
  <c r="C26" i="19"/>
  <c r="C26" i="25"/>
  <c r="B25" i="25"/>
  <c r="O23" i="18"/>
  <c r="P23" i="18"/>
  <c r="M24" i="18"/>
  <c r="C28" i="21"/>
  <c r="B27" i="21"/>
  <c r="B31" i="17"/>
  <c r="C32" i="17"/>
  <c r="B28" i="6"/>
  <c r="C29" i="6"/>
  <c r="C27" i="24"/>
  <c r="B26" i="24"/>
  <c r="O25" i="6"/>
  <c r="P25" i="6"/>
  <c r="M26" i="6"/>
  <c r="N26" i="26"/>
  <c r="U26" i="26"/>
  <c r="O26" i="6" l="1"/>
  <c r="M27" i="6"/>
  <c r="P26" i="6"/>
  <c r="U31" i="17"/>
  <c r="C27" i="19"/>
  <c r="B26" i="19"/>
  <c r="N27" i="26"/>
  <c r="U27" i="26"/>
  <c r="C30" i="6"/>
  <c r="B29" i="6"/>
  <c r="U28" i="27"/>
  <c r="C29" i="26"/>
  <c r="B28" i="26"/>
  <c r="O25" i="22"/>
  <c r="M26" i="22"/>
  <c r="P25" i="22"/>
  <c r="C32" i="23"/>
  <c r="B31" i="23"/>
  <c r="U28" i="6"/>
  <c r="N28" i="6"/>
  <c r="C29" i="21"/>
  <c r="B28" i="21"/>
  <c r="U25" i="25"/>
  <c r="P24" i="20"/>
  <c r="M25" i="20"/>
  <c r="O24" i="20"/>
  <c r="B29" i="27"/>
  <c r="C30" i="27"/>
  <c r="O23" i="24"/>
  <c r="M24" i="24"/>
  <c r="P23" i="24"/>
  <c r="B31" i="22"/>
  <c r="C32" i="22"/>
  <c r="N27" i="18"/>
  <c r="U27" i="18"/>
  <c r="C28" i="24"/>
  <c r="B27" i="24"/>
  <c r="C27" i="20"/>
  <c r="B26" i="20"/>
  <c r="U30" i="23"/>
  <c r="U27" i="21"/>
  <c r="U25" i="19"/>
  <c r="U26" i="24"/>
  <c r="N26" i="24"/>
  <c r="B32" i="17"/>
  <c r="C33" i="17"/>
  <c r="M25" i="18"/>
  <c r="O24" i="18"/>
  <c r="P24" i="18"/>
  <c r="C27" i="25"/>
  <c r="B26" i="25"/>
  <c r="U25" i="20"/>
  <c r="N25" i="20"/>
  <c r="U30" i="22"/>
  <c r="N30" i="22"/>
  <c r="O24" i="26"/>
  <c r="M25" i="26"/>
  <c r="P24" i="26"/>
  <c r="B28" i="18"/>
  <c r="C29" i="18"/>
  <c r="B27" i="25" l="1"/>
  <c r="C28" i="25"/>
  <c r="U27" i="24"/>
  <c r="N27" i="24"/>
  <c r="B32" i="22"/>
  <c r="C33" i="22"/>
  <c r="U28" i="21"/>
  <c r="O25" i="26"/>
  <c r="P25" i="26"/>
  <c r="M26" i="26"/>
  <c r="U31" i="22"/>
  <c r="N31" i="22"/>
  <c r="C31" i="27"/>
  <c r="B30" i="27"/>
  <c r="C30" i="21"/>
  <c r="B29" i="21"/>
  <c r="U28" i="26"/>
  <c r="N28" i="26"/>
  <c r="C30" i="18"/>
  <c r="B29" i="18"/>
  <c r="U26" i="20"/>
  <c r="N26" i="20"/>
  <c r="U29" i="27"/>
  <c r="B29" i="26"/>
  <c r="C30" i="26"/>
  <c r="B30" i="6"/>
  <c r="C31" i="6"/>
  <c r="B27" i="19"/>
  <c r="C28" i="19"/>
  <c r="M28" i="6"/>
  <c r="P27" i="6"/>
  <c r="O27" i="6"/>
  <c r="B33" i="17"/>
  <c r="C34" i="17"/>
  <c r="M26" i="20"/>
  <c r="O25" i="20"/>
  <c r="P25" i="20"/>
  <c r="U31" i="23"/>
  <c r="U32" i="17"/>
  <c r="C29" i="24"/>
  <c r="B28" i="24"/>
  <c r="C33" i="23"/>
  <c r="B32" i="23"/>
  <c r="U29" i="6"/>
  <c r="N29" i="6"/>
  <c r="U26" i="19"/>
  <c r="U28" i="18"/>
  <c r="N28" i="18"/>
  <c r="U26" i="25"/>
  <c r="P25" i="18"/>
  <c r="O25" i="18"/>
  <c r="M26" i="18"/>
  <c r="C28" i="20"/>
  <c r="B27" i="20"/>
  <c r="P24" i="24"/>
  <c r="O24" i="24"/>
  <c r="M25" i="24"/>
  <c r="P26" i="22"/>
  <c r="M27" i="22"/>
  <c r="O26" i="22"/>
  <c r="B29" i="24" l="1"/>
  <c r="C30" i="24"/>
  <c r="N30" i="6"/>
  <c r="U30" i="6"/>
  <c r="P25" i="24"/>
  <c r="M26" i="24"/>
  <c r="O25" i="24"/>
  <c r="U32" i="23"/>
  <c r="U33" i="17"/>
  <c r="C29" i="19"/>
  <c r="B28" i="19"/>
  <c r="C31" i="26"/>
  <c r="B30" i="26"/>
  <c r="U30" i="27"/>
  <c r="M27" i="26"/>
  <c r="P26" i="26"/>
  <c r="O26" i="26"/>
  <c r="C35" i="17"/>
  <c r="B34" i="17"/>
  <c r="M29" i="6"/>
  <c r="O28" i="6"/>
  <c r="P28" i="6"/>
  <c r="C31" i="18"/>
  <c r="B30" i="18"/>
  <c r="P26" i="18"/>
  <c r="O26" i="18"/>
  <c r="M27" i="18"/>
  <c r="B33" i="23"/>
  <c r="C34" i="23"/>
  <c r="U27" i="19"/>
  <c r="N29" i="26"/>
  <c r="U29" i="26"/>
  <c r="B31" i="27"/>
  <c r="C32" i="27"/>
  <c r="C34" i="22"/>
  <c r="B33" i="22"/>
  <c r="B28" i="25"/>
  <c r="C29" i="25"/>
  <c r="N27" i="20"/>
  <c r="U27" i="20"/>
  <c r="C31" i="21"/>
  <c r="B30" i="21"/>
  <c r="C29" i="20"/>
  <c r="B28" i="20"/>
  <c r="O27" i="22"/>
  <c r="M28" i="22"/>
  <c r="P27" i="22"/>
  <c r="N28" i="24"/>
  <c r="U28" i="24"/>
  <c r="O26" i="20"/>
  <c r="M27" i="20"/>
  <c r="P26" i="20"/>
  <c r="B31" i="6"/>
  <c r="C32" i="6"/>
  <c r="N29" i="18"/>
  <c r="U29" i="18"/>
  <c r="U29" i="21"/>
  <c r="U32" i="22"/>
  <c r="N32" i="22"/>
  <c r="U27" i="25"/>
  <c r="P27" i="20" l="1"/>
  <c r="O27" i="20"/>
  <c r="M28" i="20"/>
  <c r="B29" i="20"/>
  <c r="C30" i="20"/>
  <c r="B34" i="22"/>
  <c r="C35" i="22"/>
  <c r="U33" i="23"/>
  <c r="N30" i="18"/>
  <c r="U30" i="18"/>
  <c r="O29" i="6"/>
  <c r="M30" i="6"/>
  <c r="P29" i="6"/>
  <c r="U30" i="26"/>
  <c r="N30" i="26"/>
  <c r="B34" i="23"/>
  <c r="C35" i="23"/>
  <c r="B32" i="6"/>
  <c r="C33" i="6"/>
  <c r="P28" i="22"/>
  <c r="M29" i="22"/>
  <c r="O28" i="22"/>
  <c r="U30" i="21"/>
  <c r="B29" i="25"/>
  <c r="C30" i="25"/>
  <c r="B32" i="27"/>
  <c r="C33" i="27"/>
  <c r="M28" i="18"/>
  <c r="O27" i="18"/>
  <c r="P27" i="18"/>
  <c r="C32" i="18"/>
  <c r="B31" i="18"/>
  <c r="U34" i="17"/>
  <c r="P27" i="26"/>
  <c r="M28" i="26"/>
  <c r="O27" i="26"/>
  <c r="B31" i="26"/>
  <c r="C32" i="26"/>
  <c r="P26" i="24"/>
  <c r="O26" i="24"/>
  <c r="M27" i="24"/>
  <c r="C31" i="24"/>
  <c r="B30" i="24"/>
  <c r="U28" i="20"/>
  <c r="N28" i="20"/>
  <c r="N33" i="22"/>
  <c r="U33" i="22"/>
  <c r="C30" i="19"/>
  <c r="B29" i="19"/>
  <c r="N31" i="6"/>
  <c r="U31" i="6"/>
  <c r="C32" i="21"/>
  <c r="B31" i="21"/>
  <c r="U28" i="25"/>
  <c r="U31" i="27"/>
  <c r="B35" i="17"/>
  <c r="C36" i="17"/>
  <c r="B36" i="17" s="1"/>
  <c r="U28" i="19"/>
  <c r="U29" i="24"/>
  <c r="N29" i="24"/>
  <c r="C31" i="25" l="1"/>
  <c r="B30" i="25"/>
  <c r="N32" i="6"/>
  <c r="U32" i="6"/>
  <c r="B35" i="22"/>
  <c r="C36" i="22"/>
  <c r="P28" i="20"/>
  <c r="O28" i="20"/>
  <c r="M29" i="20"/>
  <c r="U31" i="21"/>
  <c r="U29" i="19"/>
  <c r="O27" i="24"/>
  <c r="M28" i="24"/>
  <c r="P27" i="24"/>
  <c r="N31" i="26"/>
  <c r="U31" i="26"/>
  <c r="U32" i="27"/>
  <c r="B33" i="6"/>
  <c r="C34" i="6"/>
  <c r="B32" i="21"/>
  <c r="C33" i="21"/>
  <c r="C31" i="19"/>
  <c r="B30" i="19"/>
  <c r="U36" i="17"/>
  <c r="M41" i="17" s="1"/>
  <c r="S41" i="17" s="1"/>
  <c r="U30" i="24"/>
  <c r="N30" i="24"/>
  <c r="P28" i="26"/>
  <c r="M29" i="26"/>
  <c r="O28" i="26"/>
  <c r="U31" i="18"/>
  <c r="N31" i="18"/>
  <c r="O28" i="18"/>
  <c r="P28" i="18"/>
  <c r="M29" i="18"/>
  <c r="U29" i="25"/>
  <c r="M30" i="22"/>
  <c r="O29" i="22"/>
  <c r="P29" i="22"/>
  <c r="C36" i="23"/>
  <c r="B35" i="23"/>
  <c r="N34" i="22"/>
  <c r="U34" i="22"/>
  <c r="U29" i="20"/>
  <c r="N29" i="20"/>
  <c r="U35" i="17"/>
  <c r="B31" i="24"/>
  <c r="C32" i="24"/>
  <c r="C33" i="26"/>
  <c r="B32" i="26"/>
  <c r="C33" i="18"/>
  <c r="B32" i="18"/>
  <c r="C34" i="27"/>
  <c r="B33" i="27"/>
  <c r="U34" i="23"/>
  <c r="O30" i="6"/>
  <c r="M31" i="6"/>
  <c r="P30" i="6"/>
  <c r="C31" i="20"/>
  <c r="B30" i="20"/>
  <c r="B36" i="23" l="1"/>
  <c r="C37" i="23"/>
  <c r="M30" i="26"/>
  <c r="P29" i="26"/>
  <c r="O29" i="26"/>
  <c r="N32" i="26"/>
  <c r="U32" i="26"/>
  <c r="U32" i="21"/>
  <c r="O28" i="24"/>
  <c r="M29" i="24"/>
  <c r="P28" i="24"/>
  <c r="C34" i="18"/>
  <c r="B33" i="18"/>
  <c r="U31" i="24"/>
  <c r="N31" i="24"/>
  <c r="M32" i="6"/>
  <c r="P31" i="6"/>
  <c r="O31" i="6"/>
  <c r="B34" i="27"/>
  <c r="C35" i="27"/>
  <c r="C34" i="26"/>
  <c r="B33" i="26"/>
  <c r="M30" i="18"/>
  <c r="O29" i="18"/>
  <c r="P29" i="18"/>
  <c r="U30" i="19"/>
  <c r="B34" i="6"/>
  <c r="C35" i="6"/>
  <c r="C37" i="22"/>
  <c r="B36" i="22"/>
  <c r="U30" i="25"/>
  <c r="B33" i="21"/>
  <c r="C34" i="21"/>
  <c r="U33" i="27"/>
  <c r="N30" i="20"/>
  <c r="U30" i="20"/>
  <c r="C32" i="20"/>
  <c r="B31" i="20"/>
  <c r="U32" i="18"/>
  <c r="N32" i="18"/>
  <c r="C33" i="24"/>
  <c r="B32" i="24"/>
  <c r="U35" i="23"/>
  <c r="O30" i="22"/>
  <c r="M31" i="22"/>
  <c r="P30" i="22"/>
  <c r="C32" i="19"/>
  <c r="B31" i="19"/>
  <c r="N33" i="6"/>
  <c r="U33" i="6"/>
  <c r="O29" i="20"/>
  <c r="M30" i="20"/>
  <c r="P29" i="20"/>
  <c r="U35" i="22"/>
  <c r="N35" i="22"/>
  <c r="C32" i="25"/>
  <c r="B31" i="25"/>
  <c r="U34" i="27" l="1"/>
  <c r="U31" i="25"/>
  <c r="M32" i="22"/>
  <c r="P31" i="22"/>
  <c r="O31" i="22"/>
  <c r="N31" i="20"/>
  <c r="U31" i="20"/>
  <c r="C38" i="22"/>
  <c r="B38" i="22" s="1"/>
  <c r="B37" i="22"/>
  <c r="U33" i="26"/>
  <c r="N33" i="26"/>
  <c r="M30" i="24"/>
  <c r="O29" i="24"/>
  <c r="P29" i="24"/>
  <c r="M31" i="26"/>
  <c r="O30" i="26"/>
  <c r="P30" i="26"/>
  <c r="C33" i="25"/>
  <c r="B32" i="25"/>
  <c r="P30" i="20"/>
  <c r="O30" i="20"/>
  <c r="M31" i="20"/>
  <c r="U31" i="19"/>
  <c r="C34" i="24"/>
  <c r="B33" i="24"/>
  <c r="B32" i="20"/>
  <c r="C33" i="20"/>
  <c r="C36" i="6"/>
  <c r="B35" i="6"/>
  <c r="B34" i="26"/>
  <c r="C35" i="26"/>
  <c r="U33" i="18"/>
  <c r="N33" i="18"/>
  <c r="B37" i="23"/>
  <c r="C38" i="23"/>
  <c r="B38" i="23" s="1"/>
  <c r="U33" i="21"/>
  <c r="U36" i="22"/>
  <c r="N36" i="22"/>
  <c r="O30" i="18"/>
  <c r="M31" i="18"/>
  <c r="P30" i="18"/>
  <c r="U32" i="24"/>
  <c r="N32" i="24"/>
  <c r="C33" i="19"/>
  <c r="B32" i="19"/>
  <c r="B34" i="21"/>
  <c r="C35" i="21"/>
  <c r="N34" i="6"/>
  <c r="U34" i="6"/>
  <c r="C36" i="27"/>
  <c r="B35" i="27"/>
  <c r="O32" i="6"/>
  <c r="M33" i="6"/>
  <c r="P32" i="6"/>
  <c r="C35" i="18"/>
  <c r="B34" i="18"/>
  <c r="U36" i="23"/>
  <c r="N34" i="18" l="1"/>
  <c r="U34" i="18"/>
  <c r="C34" i="19"/>
  <c r="B33" i="19"/>
  <c r="U33" i="24"/>
  <c r="N33" i="24"/>
  <c r="C36" i="18"/>
  <c r="B35" i="18"/>
  <c r="U35" i="27"/>
  <c r="C36" i="21"/>
  <c r="B35" i="21"/>
  <c r="C37" i="6"/>
  <c r="B36" i="6"/>
  <c r="C35" i="24"/>
  <c r="B34" i="24"/>
  <c r="U37" i="22"/>
  <c r="N37" i="22"/>
  <c r="U35" i="6"/>
  <c r="N35" i="6"/>
  <c r="B36" i="27"/>
  <c r="C37" i="27"/>
  <c r="U34" i="21"/>
  <c r="U38" i="23"/>
  <c r="B35" i="26"/>
  <c r="C36" i="26"/>
  <c r="C34" i="20"/>
  <c r="B33" i="20"/>
  <c r="O30" i="24"/>
  <c r="M31" i="24"/>
  <c r="P30" i="24"/>
  <c r="U38" i="22"/>
  <c r="M43" i="22" s="1"/>
  <c r="S43" i="22" s="1"/>
  <c r="N38" i="22"/>
  <c r="N8" i="23" s="1"/>
  <c r="N9" i="23" s="1"/>
  <c r="N10" i="23" s="1"/>
  <c r="N11" i="23" s="1"/>
  <c r="N12" i="23" s="1"/>
  <c r="N13" i="23" s="1"/>
  <c r="N14" i="23" s="1"/>
  <c r="N15" i="23" s="1"/>
  <c r="N16" i="23" s="1"/>
  <c r="N17" i="23" s="1"/>
  <c r="N18" i="23" s="1"/>
  <c r="N19" i="23" s="1"/>
  <c r="N20" i="23" s="1"/>
  <c r="N21" i="23" s="1"/>
  <c r="N22" i="23" s="1"/>
  <c r="N23" i="23" s="1"/>
  <c r="N24" i="23" s="1"/>
  <c r="N25" i="23" s="1"/>
  <c r="N26" i="23" s="1"/>
  <c r="N27" i="23" s="1"/>
  <c r="N28" i="23" s="1"/>
  <c r="N29" i="23" s="1"/>
  <c r="N30" i="23" s="1"/>
  <c r="N31" i="23" s="1"/>
  <c r="N32" i="23" s="1"/>
  <c r="N33" i="23" s="1"/>
  <c r="N34" i="23" s="1"/>
  <c r="N35" i="23" s="1"/>
  <c r="N36" i="23" s="1"/>
  <c r="N37" i="23" s="1"/>
  <c r="N38" i="23" s="1"/>
  <c r="O31" i="18"/>
  <c r="M32" i="18"/>
  <c r="P31" i="18"/>
  <c r="M32" i="20"/>
  <c r="O31" i="20"/>
  <c r="P31" i="20"/>
  <c r="B33" i="25"/>
  <c r="C34" i="25"/>
  <c r="O33" i="6"/>
  <c r="M34" i="6"/>
  <c r="P33" i="6"/>
  <c r="U32" i="19"/>
  <c r="U37" i="23"/>
  <c r="U34" i="26"/>
  <c r="N34" i="26"/>
  <c r="U32" i="20"/>
  <c r="N32" i="20"/>
  <c r="U32" i="25"/>
  <c r="M32" i="26"/>
  <c r="O31" i="26"/>
  <c r="P31" i="26"/>
  <c r="P32" i="22"/>
  <c r="M33" i="22"/>
  <c r="O32" i="22"/>
  <c r="N34" i="24" l="1"/>
  <c r="U34" i="24"/>
  <c r="O31" i="24"/>
  <c r="M32" i="24"/>
  <c r="P31" i="24"/>
  <c r="C37" i="26"/>
  <c r="B37" i="26" s="1"/>
  <c r="B36" i="26"/>
  <c r="U35" i="21"/>
  <c r="U35" i="18"/>
  <c r="N35" i="18"/>
  <c r="U33" i="19"/>
  <c r="B34" i="25"/>
  <c r="C35" i="25"/>
  <c r="O32" i="20"/>
  <c r="P32" i="20"/>
  <c r="M33" i="20"/>
  <c r="B35" i="24"/>
  <c r="C36" i="24"/>
  <c r="U33" i="25"/>
  <c r="U33" i="20"/>
  <c r="N33" i="20"/>
  <c r="B37" i="27"/>
  <c r="C38" i="27"/>
  <c r="B38" i="27" s="1"/>
  <c r="N36" i="6"/>
  <c r="U36" i="6"/>
  <c r="N35" i="26"/>
  <c r="U35" i="26"/>
  <c r="C37" i="21"/>
  <c r="B37" i="21" s="1"/>
  <c r="B36" i="21"/>
  <c r="B36" i="18"/>
  <c r="C37" i="18"/>
  <c r="B34" i="19"/>
  <c r="C35" i="19"/>
  <c r="O33" i="22"/>
  <c r="M34" i="22"/>
  <c r="P33" i="22"/>
  <c r="O32" i="26"/>
  <c r="P32" i="26"/>
  <c r="M33" i="26"/>
  <c r="P34" i="6"/>
  <c r="O34" i="6"/>
  <c r="M35" i="6"/>
  <c r="M33" i="18"/>
  <c r="O32" i="18"/>
  <c r="P32" i="18"/>
  <c r="B34" i="20"/>
  <c r="C35" i="20"/>
  <c r="M43" i="23"/>
  <c r="S43" i="23" s="1"/>
  <c r="U36" i="27"/>
  <c r="B37" i="6"/>
  <c r="C38" i="6"/>
  <c r="B38" i="6" s="1"/>
  <c r="U34" i="19" l="1"/>
  <c r="M33" i="24"/>
  <c r="P32" i="24"/>
  <c r="O32" i="24"/>
  <c r="U37" i="6"/>
  <c r="N37" i="6"/>
  <c r="N38" i="6" s="1"/>
  <c r="N8" i="17" s="1"/>
  <c r="N9" i="17" s="1"/>
  <c r="N10" i="17" s="1"/>
  <c r="N11" i="17" s="1"/>
  <c r="N12" i="17" s="1"/>
  <c r="N13" i="17" s="1"/>
  <c r="N14" i="17" s="1"/>
  <c r="N15" i="17" s="1"/>
  <c r="N16" i="17" s="1"/>
  <c r="N17" i="17" s="1"/>
  <c r="N18" i="17" s="1"/>
  <c r="N19" i="17" s="1"/>
  <c r="N20" i="17" s="1"/>
  <c r="N21" i="17" s="1"/>
  <c r="N22" i="17" s="1"/>
  <c r="N23" i="17" s="1"/>
  <c r="N24" i="17" s="1"/>
  <c r="N25" i="17" s="1"/>
  <c r="N26" i="17" s="1"/>
  <c r="N27" i="17" s="1"/>
  <c r="N28" i="17" s="1"/>
  <c r="N29" i="17" s="1"/>
  <c r="N30" i="17" s="1"/>
  <c r="N31" i="17" s="1"/>
  <c r="N32" i="17" s="1"/>
  <c r="N33" i="17" s="1"/>
  <c r="N34" i="17" s="1"/>
  <c r="N35" i="17" s="1"/>
  <c r="N36" i="17" s="1"/>
  <c r="C36" i="20"/>
  <c r="B35" i="20"/>
  <c r="M34" i="18"/>
  <c r="P33" i="18"/>
  <c r="O33" i="18"/>
  <c r="M34" i="26"/>
  <c r="O33" i="26"/>
  <c r="P33" i="26"/>
  <c r="M35" i="22"/>
  <c r="O34" i="22"/>
  <c r="P34" i="22"/>
  <c r="C38" i="18"/>
  <c r="B38" i="18" s="1"/>
  <c r="B37" i="18"/>
  <c r="U38" i="27"/>
  <c r="N35" i="24"/>
  <c r="U35" i="24"/>
  <c r="C36" i="25"/>
  <c r="B35" i="25"/>
  <c r="U36" i="26"/>
  <c r="N36" i="26"/>
  <c r="N34" i="20"/>
  <c r="U34" i="20"/>
  <c r="M36" i="6"/>
  <c r="O35" i="6"/>
  <c r="P35" i="6"/>
  <c r="U36" i="18"/>
  <c r="N36" i="18"/>
  <c r="U37" i="27"/>
  <c r="P33" i="20"/>
  <c r="M34" i="20"/>
  <c r="O33" i="20"/>
  <c r="U34" i="25"/>
  <c r="U37" i="26"/>
  <c r="M42" i="26" s="1"/>
  <c r="S42" i="26" s="1"/>
  <c r="N37" i="26"/>
  <c r="N8" i="27" s="1"/>
  <c r="N9" i="27" s="1"/>
  <c r="N10" i="27" s="1"/>
  <c r="N11" i="27" s="1"/>
  <c r="N12" i="27" s="1"/>
  <c r="N13" i="27" s="1"/>
  <c r="N14" i="27" s="1"/>
  <c r="N15" i="27" s="1"/>
  <c r="N16" i="27" s="1"/>
  <c r="N17" i="27" s="1"/>
  <c r="N18" i="27" s="1"/>
  <c r="N19" i="27" s="1"/>
  <c r="N20" i="27" s="1"/>
  <c r="N21" i="27" s="1"/>
  <c r="N22" i="27" s="1"/>
  <c r="N23" i="27" s="1"/>
  <c r="N24" i="27" s="1"/>
  <c r="N25" i="27" s="1"/>
  <c r="N26" i="27" s="1"/>
  <c r="N27" i="27" s="1"/>
  <c r="N28" i="27" s="1"/>
  <c r="N29" i="27" s="1"/>
  <c r="N30" i="27" s="1"/>
  <c r="N31" i="27" s="1"/>
  <c r="N32" i="27" s="1"/>
  <c r="N33" i="27" s="1"/>
  <c r="N34" i="27" s="1"/>
  <c r="N35" i="27" s="1"/>
  <c r="N36" i="27" s="1"/>
  <c r="N37" i="27" s="1"/>
  <c r="N38" i="27" s="1"/>
  <c r="U38" i="6"/>
  <c r="M43" i="6" s="1"/>
  <c r="S43" i="6" s="1"/>
  <c r="U37" i="21"/>
  <c r="M42" i="21" s="1"/>
  <c r="S42" i="21" s="1"/>
  <c r="B36" i="24"/>
  <c r="C37" i="24"/>
  <c r="B37" i="24" s="1"/>
  <c r="B35" i="19"/>
  <c r="C36" i="19"/>
  <c r="U36" i="21"/>
  <c r="O34" i="20" l="1"/>
  <c r="P34" i="20"/>
  <c r="M35" i="20"/>
  <c r="M34" i="24"/>
  <c r="P33" i="24"/>
  <c r="O33" i="24"/>
  <c r="U37" i="24"/>
  <c r="U35" i="25"/>
  <c r="M43" i="27"/>
  <c r="S43" i="27" s="1"/>
  <c r="M35" i="18"/>
  <c r="O34" i="18"/>
  <c r="P34" i="18"/>
  <c r="U35" i="19"/>
  <c r="O36" i="6"/>
  <c r="P36" i="6"/>
  <c r="M37" i="6"/>
  <c r="U38" i="18"/>
  <c r="M43" i="18" s="1"/>
  <c r="S43" i="18" s="1"/>
  <c r="U36" i="24"/>
  <c r="N36" i="24"/>
  <c r="N37" i="24" s="1"/>
  <c r="N8" i="25" s="1"/>
  <c r="N9" i="25" s="1"/>
  <c r="N10" i="25" s="1"/>
  <c r="N11" i="25" s="1"/>
  <c r="N12" i="25" s="1"/>
  <c r="N13" i="25" s="1"/>
  <c r="N14" i="25" s="1"/>
  <c r="N15" i="25" s="1"/>
  <c r="N16" i="25" s="1"/>
  <c r="N17" i="25" s="1"/>
  <c r="N18" i="25" s="1"/>
  <c r="N19" i="25" s="1"/>
  <c r="N20" i="25" s="1"/>
  <c r="N21" i="25" s="1"/>
  <c r="N22" i="25" s="1"/>
  <c r="N23" i="25" s="1"/>
  <c r="N24" i="25" s="1"/>
  <c r="N25" i="25" s="1"/>
  <c r="N26" i="25" s="1"/>
  <c r="N27" i="25" s="1"/>
  <c r="N28" i="25" s="1"/>
  <c r="N29" i="25" s="1"/>
  <c r="N30" i="25" s="1"/>
  <c r="N31" i="25" s="1"/>
  <c r="N32" i="25" s="1"/>
  <c r="N33" i="25" s="1"/>
  <c r="N34" i="25" s="1"/>
  <c r="N35" i="25" s="1"/>
  <c r="B36" i="25"/>
  <c r="C37" i="25"/>
  <c r="M35" i="26"/>
  <c r="P34" i="26"/>
  <c r="O34" i="26"/>
  <c r="U35" i="20"/>
  <c r="N35" i="20"/>
  <c r="C37" i="19"/>
  <c r="B37" i="19" s="1"/>
  <c r="B36" i="19"/>
  <c r="N37" i="18"/>
  <c r="N38" i="18" s="1"/>
  <c r="N8" i="19" s="1"/>
  <c r="N9" i="19" s="1"/>
  <c r="N10" i="19" s="1"/>
  <c r="N11" i="19" s="1"/>
  <c r="N12" i="19" s="1"/>
  <c r="N13" i="19" s="1"/>
  <c r="N14" i="19" s="1"/>
  <c r="N15" i="19" s="1"/>
  <c r="N16" i="19" s="1"/>
  <c r="N17" i="19" s="1"/>
  <c r="N18" i="19" s="1"/>
  <c r="N19" i="19" s="1"/>
  <c r="N20" i="19" s="1"/>
  <c r="N21" i="19" s="1"/>
  <c r="N22" i="19" s="1"/>
  <c r="N23" i="19" s="1"/>
  <c r="N24" i="19" s="1"/>
  <c r="N25" i="19" s="1"/>
  <c r="N26" i="19" s="1"/>
  <c r="N27" i="19" s="1"/>
  <c r="N28" i="19" s="1"/>
  <c r="N29" i="19" s="1"/>
  <c r="N30" i="19" s="1"/>
  <c r="N31" i="19" s="1"/>
  <c r="N32" i="19" s="1"/>
  <c r="N33" i="19" s="1"/>
  <c r="N34" i="19" s="1"/>
  <c r="N35" i="19" s="1"/>
  <c r="U37" i="18"/>
  <c r="O35" i="22"/>
  <c r="P35" i="22"/>
  <c r="M36" i="22"/>
  <c r="C37" i="20"/>
  <c r="B36" i="20"/>
  <c r="M42" i="24" l="1"/>
  <c r="S42" i="24" s="1"/>
  <c r="P35" i="20"/>
  <c r="M36" i="20"/>
  <c r="O35" i="20"/>
  <c r="N36" i="19"/>
  <c r="U36" i="19"/>
  <c r="U36" i="25"/>
  <c r="N36" i="25"/>
  <c r="B37" i="25"/>
  <c r="C38" i="25"/>
  <c r="B38" i="25" s="1"/>
  <c r="U36" i="20"/>
  <c r="N36" i="20"/>
  <c r="P36" i="22"/>
  <c r="M37" i="22"/>
  <c r="O36" i="22"/>
  <c r="U37" i="19"/>
  <c r="M42" i="19" s="1"/>
  <c r="S42" i="19" s="1"/>
  <c r="N37" i="19"/>
  <c r="B37" i="20"/>
  <c r="C38" i="20"/>
  <c r="B38" i="20" s="1"/>
  <c r="O35" i="26"/>
  <c r="P35" i="26"/>
  <c r="M36" i="26"/>
  <c r="P37" i="6"/>
  <c r="O37" i="6"/>
  <c r="M38" i="6"/>
  <c r="O35" i="18"/>
  <c r="M36" i="18"/>
  <c r="P35" i="18"/>
  <c r="P34" i="24"/>
  <c r="O34" i="24"/>
  <c r="M35" i="24"/>
  <c r="O38" i="6" l="1"/>
  <c r="P38" i="6"/>
  <c r="M51" i="6" s="1"/>
  <c r="S51" i="6" s="1"/>
  <c r="S57" i="6" s="1"/>
  <c r="M8" i="17"/>
  <c r="O37" i="22"/>
  <c r="P37" i="22"/>
  <c r="M38" i="22"/>
  <c r="P36" i="20"/>
  <c r="M37" i="20"/>
  <c r="O36" i="20"/>
  <c r="M37" i="26"/>
  <c r="P36" i="26"/>
  <c r="O36" i="26"/>
  <c r="N37" i="20"/>
  <c r="U37" i="20"/>
  <c r="U38" i="25"/>
  <c r="M43" i="25" s="1"/>
  <c r="S43" i="25" s="1"/>
  <c r="P35" i="24"/>
  <c r="M36" i="24"/>
  <c r="O35" i="24"/>
  <c r="M37" i="18"/>
  <c r="P36" i="18"/>
  <c r="O36" i="18"/>
  <c r="U38" i="20"/>
  <c r="M43" i="20" s="1"/>
  <c r="S43" i="20" s="1"/>
  <c r="N38" i="20"/>
  <c r="N8" i="21" s="1"/>
  <c r="N9" i="21" s="1"/>
  <c r="N10" i="21" s="1"/>
  <c r="N11" i="21" s="1"/>
  <c r="N12" i="21" s="1"/>
  <c r="N13" i="21" s="1"/>
  <c r="N14" i="21" s="1"/>
  <c r="N15" i="21" s="1"/>
  <c r="N16" i="21" s="1"/>
  <c r="N17" i="21" s="1"/>
  <c r="N18" i="21" s="1"/>
  <c r="N19" i="21" s="1"/>
  <c r="N20" i="21" s="1"/>
  <c r="N21" i="21" s="1"/>
  <c r="N22" i="21" s="1"/>
  <c r="N23" i="21" s="1"/>
  <c r="N24" i="21" s="1"/>
  <c r="N25" i="21" s="1"/>
  <c r="N26" i="21" s="1"/>
  <c r="N27" i="21" s="1"/>
  <c r="N28" i="21" s="1"/>
  <c r="N29" i="21" s="1"/>
  <c r="N30" i="21" s="1"/>
  <c r="N31" i="21" s="1"/>
  <c r="N32" i="21" s="1"/>
  <c r="N33" i="21" s="1"/>
  <c r="N34" i="21" s="1"/>
  <c r="N35" i="21" s="1"/>
  <c r="N36" i="21" s="1"/>
  <c r="N37" i="21" s="1"/>
  <c r="U37" i="25"/>
  <c r="N37" i="25"/>
  <c r="N38" i="25" s="1"/>
  <c r="O37" i="20" l="1"/>
  <c r="M38" i="20"/>
  <c r="P37" i="20"/>
  <c r="O36" i="24"/>
  <c r="M37" i="24"/>
  <c r="P36" i="24"/>
  <c r="O8" i="17"/>
  <c r="M9" i="17"/>
  <c r="P8" i="17"/>
  <c r="P37" i="26"/>
  <c r="M50" i="26" s="1"/>
  <c r="S50" i="26" s="1"/>
  <c r="S56" i="26" s="1"/>
  <c r="O37" i="26"/>
  <c r="M8" i="27"/>
  <c r="O38" i="22"/>
  <c r="M8" i="23"/>
  <c r="P38" i="22"/>
  <c r="O37" i="18"/>
  <c r="P37" i="18"/>
  <c r="M38" i="18"/>
  <c r="P38" i="20" l="1"/>
  <c r="M8" i="21"/>
  <c r="O38" i="20"/>
  <c r="P38" i="18"/>
  <c r="M51" i="18" s="1"/>
  <c r="S51" i="18" s="1"/>
  <c r="S57" i="18" s="1"/>
  <c r="O38" i="18"/>
  <c r="M8" i="19"/>
  <c r="O8" i="23"/>
  <c r="P8" i="23"/>
  <c r="M9" i="23"/>
  <c r="O8" i="27"/>
  <c r="P8" i="27"/>
  <c r="M9" i="27"/>
  <c r="M8" i="25"/>
  <c r="P37" i="24"/>
  <c r="O37" i="24"/>
  <c r="M51" i="22"/>
  <c r="S51" i="22" s="1"/>
  <c r="S57" i="22" s="1"/>
  <c r="O9" i="17"/>
  <c r="P9" i="17"/>
  <c r="M10" i="17"/>
  <c r="O9" i="27" l="1"/>
  <c r="P9" i="27"/>
  <c r="M10" i="27"/>
  <c r="M50" i="24"/>
  <c r="S50" i="24" s="1"/>
  <c r="S56" i="24" s="1"/>
  <c r="P8" i="19"/>
  <c r="O8" i="19"/>
  <c r="M9" i="19"/>
  <c r="M9" i="21"/>
  <c r="P8" i="21"/>
  <c r="O8" i="21"/>
  <c r="O10" i="17"/>
  <c r="P10" i="17"/>
  <c r="M11" i="17"/>
  <c r="M9" i="25"/>
  <c r="P8" i="25"/>
  <c r="O8" i="25"/>
  <c r="O9" i="23"/>
  <c r="M10" i="23"/>
  <c r="P9" i="23"/>
  <c r="M51" i="20"/>
  <c r="S51" i="20" s="1"/>
  <c r="S57" i="20" s="1"/>
  <c r="M10" i="21" l="1"/>
  <c r="O9" i="21"/>
  <c r="P9" i="21"/>
  <c r="M10" i="19"/>
  <c r="P9" i="19"/>
  <c r="O9" i="19"/>
  <c r="O10" i="27"/>
  <c r="M11" i="27"/>
  <c r="P10" i="27"/>
  <c r="O10" i="23"/>
  <c r="P10" i="23"/>
  <c r="M11" i="23"/>
  <c r="P9" i="25"/>
  <c r="M10" i="25"/>
  <c r="O9" i="25"/>
  <c r="O11" i="17"/>
  <c r="P11" i="17"/>
  <c r="M12" i="17"/>
  <c r="O10" i="19" l="1"/>
  <c r="M11" i="19"/>
  <c r="P10" i="19"/>
  <c r="P11" i="27"/>
  <c r="O11" i="27"/>
  <c r="M12" i="27"/>
  <c r="O12" i="17"/>
  <c r="P12" i="17"/>
  <c r="M13" i="17"/>
  <c r="M12" i="23"/>
  <c r="P11" i="23"/>
  <c r="O11" i="23"/>
  <c r="P10" i="25"/>
  <c r="M11" i="25"/>
  <c r="O10" i="25"/>
  <c r="O10" i="21"/>
  <c r="M11" i="21"/>
  <c r="P10" i="21"/>
  <c r="P11" i="21" l="1"/>
  <c r="M12" i="21"/>
  <c r="O11" i="21"/>
  <c r="M14" i="17"/>
  <c r="P13" i="17"/>
  <c r="O13" i="17"/>
  <c r="O11" i="25"/>
  <c r="M12" i="25"/>
  <c r="P11" i="25"/>
  <c r="P12" i="23"/>
  <c r="M13" i="23"/>
  <c r="O12" i="23"/>
  <c r="P12" i="27"/>
  <c r="O12" i="27"/>
  <c r="M13" i="27"/>
  <c r="M12" i="19"/>
  <c r="P11" i="19"/>
  <c r="O11" i="19"/>
  <c r="M13" i="19" l="1"/>
  <c r="P12" i="19"/>
  <c r="O12" i="19"/>
  <c r="P12" i="25"/>
  <c r="O12" i="25"/>
  <c r="M13" i="25"/>
  <c r="O14" i="17"/>
  <c r="M15" i="17"/>
  <c r="P14" i="17"/>
  <c r="P13" i="23"/>
  <c r="O13" i="23"/>
  <c r="M14" i="23"/>
  <c r="M14" i="27"/>
  <c r="O13" i="27"/>
  <c r="P13" i="27"/>
  <c r="P12" i="21"/>
  <c r="O12" i="21"/>
  <c r="M13" i="21"/>
  <c r="O14" i="23" l="1"/>
  <c r="M15" i="23"/>
  <c r="P14" i="23"/>
  <c r="M16" i="17"/>
  <c r="O15" i="17"/>
  <c r="P15" i="17"/>
  <c r="M14" i="21"/>
  <c r="P13" i="21"/>
  <c r="O13" i="21"/>
  <c r="M14" i="25"/>
  <c r="P13" i="25"/>
  <c r="O13" i="25"/>
  <c r="M15" i="27"/>
  <c r="P14" i="27"/>
  <c r="O14" i="27"/>
  <c r="M14" i="19"/>
  <c r="P13" i="19"/>
  <c r="O13" i="19"/>
  <c r="M16" i="27" l="1"/>
  <c r="O15" i="27"/>
  <c r="P15" i="27"/>
  <c r="P14" i="19"/>
  <c r="M15" i="19"/>
  <c r="O14" i="19"/>
  <c r="O16" i="17"/>
  <c r="P16" i="17"/>
  <c r="M17" i="17"/>
  <c r="O14" i="21"/>
  <c r="P14" i="21"/>
  <c r="M15" i="21"/>
  <c r="M15" i="25"/>
  <c r="O14" i="25"/>
  <c r="P14" i="25"/>
  <c r="P15" i="23"/>
  <c r="O15" i="23"/>
  <c r="M16" i="23"/>
  <c r="M16" i="21" l="1"/>
  <c r="O15" i="21"/>
  <c r="P15" i="21"/>
  <c r="O16" i="23"/>
  <c r="M17" i="23"/>
  <c r="P16" i="23"/>
  <c r="P15" i="25"/>
  <c r="M16" i="25"/>
  <c r="O15" i="25"/>
  <c r="P17" i="17"/>
  <c r="M18" i="17"/>
  <c r="O17" i="17"/>
  <c r="P15" i="19"/>
  <c r="O15" i="19"/>
  <c r="M16" i="19"/>
  <c r="O16" i="27"/>
  <c r="P16" i="27"/>
  <c r="M17" i="27"/>
  <c r="O16" i="25" l="1"/>
  <c r="P16" i="25"/>
  <c r="M17" i="25"/>
  <c r="M17" i="19"/>
  <c r="O16" i="19"/>
  <c r="P16" i="19"/>
  <c r="M19" i="17"/>
  <c r="O18" i="17"/>
  <c r="P18" i="17"/>
  <c r="M18" i="27"/>
  <c r="O17" i="27"/>
  <c r="P17" i="27"/>
  <c r="O17" i="23"/>
  <c r="P17" i="23"/>
  <c r="M18" i="23"/>
  <c r="O16" i="21"/>
  <c r="M17" i="21"/>
  <c r="P16" i="21"/>
  <c r="M18" i="19" l="1"/>
  <c r="P17" i="19"/>
  <c r="O17" i="19"/>
  <c r="M19" i="23"/>
  <c r="P18" i="23"/>
  <c r="O18" i="23"/>
  <c r="M20" i="17"/>
  <c r="P19" i="17"/>
  <c r="O19" i="17"/>
  <c r="P17" i="25"/>
  <c r="M18" i="25"/>
  <c r="O17" i="25"/>
  <c r="M19" i="27"/>
  <c r="P18" i="27"/>
  <c r="O18" i="27"/>
  <c r="P17" i="21"/>
  <c r="O17" i="21"/>
  <c r="M18" i="21"/>
  <c r="P19" i="23" l="1"/>
  <c r="O19" i="23"/>
  <c r="M20" i="23"/>
  <c r="M19" i="25"/>
  <c r="P18" i="25"/>
  <c r="O18" i="25"/>
  <c r="O20" i="17"/>
  <c r="P20" i="17"/>
  <c r="M21" i="17"/>
  <c r="M19" i="21"/>
  <c r="O18" i="21"/>
  <c r="P18" i="21"/>
  <c r="M20" i="27"/>
  <c r="O19" i="27"/>
  <c r="P19" i="27"/>
  <c r="O18" i="19"/>
  <c r="M19" i="19"/>
  <c r="P18" i="19"/>
  <c r="M20" i="25" l="1"/>
  <c r="P19" i="25"/>
  <c r="O19" i="25"/>
  <c r="O20" i="23"/>
  <c r="M21" i="23"/>
  <c r="P20" i="23"/>
  <c r="O19" i="21"/>
  <c r="M20" i="21"/>
  <c r="P19" i="21"/>
  <c r="O19" i="19"/>
  <c r="M20" i="19"/>
  <c r="P19" i="19"/>
  <c r="M21" i="27"/>
  <c r="P20" i="27"/>
  <c r="O20" i="27"/>
  <c r="O21" i="17"/>
  <c r="M22" i="17"/>
  <c r="P21" i="17"/>
  <c r="M21" i="21" l="1"/>
  <c r="O20" i="21"/>
  <c r="P20" i="21"/>
  <c r="M21" i="19"/>
  <c r="O20" i="19"/>
  <c r="P20" i="19"/>
  <c r="O22" i="17"/>
  <c r="M23" i="17"/>
  <c r="P22" i="17"/>
  <c r="P21" i="27"/>
  <c r="O21" i="27"/>
  <c r="M22" i="27"/>
  <c r="O21" i="23"/>
  <c r="M22" i="23"/>
  <c r="P21" i="23"/>
  <c r="O20" i="25"/>
  <c r="P20" i="25"/>
  <c r="M21" i="25"/>
  <c r="M24" i="17" l="1"/>
  <c r="O23" i="17"/>
  <c r="P23" i="17"/>
  <c r="M22" i="25"/>
  <c r="O21" i="25"/>
  <c r="P21" i="25"/>
  <c r="M23" i="23"/>
  <c r="P22" i="23"/>
  <c r="O22" i="23"/>
  <c r="M23" i="27"/>
  <c r="O22" i="27"/>
  <c r="P22" i="27"/>
  <c r="P21" i="19"/>
  <c r="M22" i="19"/>
  <c r="O21" i="19"/>
  <c r="M22" i="21"/>
  <c r="P21" i="21"/>
  <c r="O21" i="21"/>
  <c r="P23" i="23" l="1"/>
  <c r="M24" i="23"/>
  <c r="O23" i="23"/>
  <c r="O22" i="21"/>
  <c r="M23" i="21"/>
  <c r="P22" i="21"/>
  <c r="M23" i="25"/>
  <c r="O22" i="25"/>
  <c r="P22" i="25"/>
  <c r="P22" i="19"/>
  <c r="M23" i="19"/>
  <c r="O22" i="19"/>
  <c r="M24" i="27"/>
  <c r="O23" i="27"/>
  <c r="P23" i="27"/>
  <c r="M25" i="17"/>
  <c r="O24" i="17"/>
  <c r="P24" i="17"/>
  <c r="O23" i="19" l="1"/>
  <c r="M24" i="19"/>
  <c r="P23" i="19"/>
  <c r="M24" i="25"/>
  <c r="O23" i="25"/>
  <c r="P23" i="25"/>
  <c r="M25" i="23"/>
  <c r="O24" i="23"/>
  <c r="P24" i="23"/>
  <c r="O25" i="17"/>
  <c r="M26" i="17"/>
  <c r="P25" i="17"/>
  <c r="O24" i="27"/>
  <c r="P24" i="27"/>
  <c r="M25" i="27"/>
  <c r="O23" i="21"/>
  <c r="P23" i="21"/>
  <c r="M24" i="21"/>
  <c r="O25" i="27" l="1"/>
  <c r="P25" i="27"/>
  <c r="M26" i="27"/>
  <c r="M27" i="17"/>
  <c r="P26" i="17"/>
  <c r="O26" i="17"/>
  <c r="P25" i="23"/>
  <c r="O25" i="23"/>
  <c r="M26" i="23"/>
  <c r="P24" i="21"/>
  <c r="O24" i="21"/>
  <c r="M25" i="21"/>
  <c r="M25" i="19"/>
  <c r="P24" i="19"/>
  <c r="O24" i="19"/>
  <c r="P24" i="25"/>
  <c r="M25" i="25"/>
  <c r="O24" i="25"/>
  <c r="M28" i="17" l="1"/>
  <c r="O27" i="17"/>
  <c r="P27" i="17"/>
  <c r="O26" i="27"/>
  <c r="M27" i="27"/>
  <c r="P26" i="27"/>
  <c r="P25" i="21"/>
  <c r="O25" i="21"/>
  <c r="M26" i="21"/>
  <c r="P25" i="25"/>
  <c r="M26" i="25"/>
  <c r="O25" i="25"/>
  <c r="O25" i="19"/>
  <c r="M26" i="19"/>
  <c r="P25" i="19"/>
  <c r="M27" i="23"/>
  <c r="O26" i="23"/>
  <c r="P26" i="23"/>
  <c r="M27" i="25" l="1"/>
  <c r="O26" i="25"/>
  <c r="P26" i="25"/>
  <c r="P26" i="19"/>
  <c r="M27" i="19"/>
  <c r="O26" i="19"/>
  <c r="P27" i="23"/>
  <c r="O27" i="23"/>
  <c r="M28" i="23"/>
  <c r="P26" i="21"/>
  <c r="M27" i="21"/>
  <c r="O26" i="21"/>
  <c r="M28" i="27"/>
  <c r="O27" i="27"/>
  <c r="P27" i="27"/>
  <c r="P28" i="17"/>
  <c r="M29" i="17"/>
  <c r="O28" i="17"/>
  <c r="O27" i="21" l="1"/>
  <c r="P27" i="21"/>
  <c r="M28" i="21"/>
  <c r="O29" i="17"/>
  <c r="P29" i="17"/>
  <c r="M30" i="17"/>
  <c r="O28" i="27"/>
  <c r="P28" i="27"/>
  <c r="M29" i="27"/>
  <c r="P28" i="23"/>
  <c r="M29" i="23"/>
  <c r="O28" i="23"/>
  <c r="O27" i="19"/>
  <c r="M28" i="19"/>
  <c r="P27" i="19"/>
  <c r="M28" i="25"/>
  <c r="P27" i="25"/>
  <c r="O27" i="25"/>
  <c r="M29" i="21" l="1"/>
  <c r="O28" i="21"/>
  <c r="P28" i="21"/>
  <c r="O28" i="25"/>
  <c r="P28" i="25"/>
  <c r="M29" i="25"/>
  <c r="O28" i="19"/>
  <c r="M29" i="19"/>
  <c r="P28" i="19"/>
  <c r="O30" i="17"/>
  <c r="P30" i="17"/>
  <c r="M31" i="17"/>
  <c r="M30" i="23"/>
  <c r="O29" i="23"/>
  <c r="P29" i="23"/>
  <c r="P29" i="27"/>
  <c r="M30" i="27"/>
  <c r="O29" i="27"/>
  <c r="O31" i="17" l="1"/>
  <c r="P31" i="17"/>
  <c r="M32" i="17"/>
  <c r="P29" i="19"/>
  <c r="O29" i="19"/>
  <c r="M30" i="19"/>
  <c r="O29" i="25"/>
  <c r="M30" i="25"/>
  <c r="P29" i="25"/>
  <c r="M31" i="27"/>
  <c r="P30" i="27"/>
  <c r="O30" i="27"/>
  <c r="M31" i="23"/>
  <c r="O30" i="23"/>
  <c r="P30" i="23"/>
  <c r="M30" i="21"/>
  <c r="O29" i="21"/>
  <c r="P29" i="21"/>
  <c r="O32" i="17" l="1"/>
  <c r="P32" i="17"/>
  <c r="M33" i="17"/>
  <c r="M31" i="25"/>
  <c r="P30" i="25"/>
  <c r="O30" i="25"/>
  <c r="P31" i="27"/>
  <c r="O31" i="27"/>
  <c r="M32" i="27"/>
  <c r="P30" i="19"/>
  <c r="M31" i="19"/>
  <c r="O30" i="19"/>
  <c r="O30" i="21"/>
  <c r="M31" i="21"/>
  <c r="P30" i="21"/>
  <c r="P31" i="23"/>
  <c r="O31" i="23"/>
  <c r="M32" i="23"/>
  <c r="M32" i="25" l="1"/>
  <c r="P31" i="25"/>
  <c r="O31" i="25"/>
  <c r="M32" i="19"/>
  <c r="O31" i="19"/>
  <c r="P31" i="19"/>
  <c r="P33" i="17"/>
  <c r="O33" i="17"/>
  <c r="M34" i="17"/>
  <c r="M33" i="23"/>
  <c r="O32" i="23"/>
  <c r="P32" i="23"/>
  <c r="O31" i="21"/>
  <c r="M32" i="21"/>
  <c r="P31" i="21"/>
  <c r="M33" i="27"/>
  <c r="O32" i="27"/>
  <c r="P32" i="27"/>
  <c r="M33" i="21" l="1"/>
  <c r="P32" i="21"/>
  <c r="O32" i="21"/>
  <c r="P33" i="23"/>
  <c r="O33" i="23"/>
  <c r="M34" i="23"/>
  <c r="O33" i="27"/>
  <c r="P33" i="27"/>
  <c r="M34" i="27"/>
  <c r="P32" i="19"/>
  <c r="O32" i="19"/>
  <c r="M33" i="19"/>
  <c r="O34" i="17"/>
  <c r="P34" i="17"/>
  <c r="M35" i="17"/>
  <c r="O32" i="25"/>
  <c r="P32" i="25"/>
  <c r="M33" i="25"/>
  <c r="M36" i="17" l="1"/>
  <c r="P35" i="17"/>
  <c r="O35" i="17"/>
  <c r="O33" i="25"/>
  <c r="P33" i="25"/>
  <c r="M34" i="25"/>
  <c r="P34" i="23"/>
  <c r="O34" i="23"/>
  <c r="M35" i="23"/>
  <c r="O33" i="19"/>
  <c r="M34" i="19"/>
  <c r="P33" i="19"/>
  <c r="M35" i="27"/>
  <c r="P34" i="27"/>
  <c r="O34" i="27"/>
  <c r="M34" i="21"/>
  <c r="P33" i="21"/>
  <c r="O33" i="21"/>
  <c r="P34" i="21" l="1"/>
  <c r="O34" i="21"/>
  <c r="M35" i="21"/>
  <c r="M35" i="19"/>
  <c r="O34" i="19"/>
  <c r="P34" i="19"/>
  <c r="M35" i="25"/>
  <c r="P34" i="25"/>
  <c r="O34" i="25"/>
  <c r="O35" i="27"/>
  <c r="P35" i="27"/>
  <c r="M36" i="27"/>
  <c r="M36" i="23"/>
  <c r="O35" i="23"/>
  <c r="P35" i="23"/>
  <c r="P36" i="17"/>
  <c r="M49" i="17" s="1"/>
  <c r="S49" i="17" s="1"/>
  <c r="S55" i="17" s="1"/>
  <c r="O36" i="17"/>
  <c r="M36" i="19" l="1"/>
  <c r="P35" i="19"/>
  <c r="O35" i="19"/>
  <c r="P35" i="25"/>
  <c r="M36" i="25"/>
  <c r="O35" i="25"/>
  <c r="O35" i="21"/>
  <c r="P35" i="21"/>
  <c r="M36" i="21"/>
  <c r="O36" i="27"/>
  <c r="M37" i="27"/>
  <c r="P36" i="27"/>
  <c r="M37" i="23"/>
  <c r="P36" i="23"/>
  <c r="O36" i="23"/>
  <c r="P37" i="27" l="1"/>
  <c r="O37" i="27"/>
  <c r="M38" i="27"/>
  <c r="M38" i="23"/>
  <c r="P37" i="23"/>
  <c r="O37" i="23"/>
  <c r="M37" i="21"/>
  <c r="O36" i="21"/>
  <c r="P36" i="21"/>
  <c r="P36" i="25"/>
  <c r="M37" i="25"/>
  <c r="O36" i="25"/>
  <c r="M37" i="19"/>
  <c r="O36" i="19"/>
  <c r="P36" i="19"/>
  <c r="O37" i="25" l="1"/>
  <c r="P37" i="25"/>
  <c r="M38" i="25"/>
  <c r="O37" i="21"/>
  <c r="P37" i="21"/>
  <c r="O38" i="27"/>
  <c r="P38" i="27"/>
  <c r="M51" i="27" s="1"/>
  <c r="S51" i="27" s="1"/>
  <c r="S57" i="27" s="1"/>
  <c r="P38" i="23"/>
  <c r="M51" i="23" s="1"/>
  <c r="S51" i="23" s="1"/>
  <c r="S57" i="23" s="1"/>
  <c r="O38" i="23"/>
  <c r="O37" i="19"/>
  <c r="P37" i="19"/>
  <c r="M50" i="19" s="1"/>
  <c r="S50" i="19" s="1"/>
  <c r="S56" i="19" s="1"/>
  <c r="P38" i="25" l="1"/>
  <c r="O38" i="25"/>
  <c r="M50" i="21"/>
  <c r="S50" i="21" s="1"/>
  <c r="S56" i="21" s="1"/>
  <c r="M51" i="25" l="1"/>
  <c r="S51" i="25" s="1"/>
  <c r="S57"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Kenneth Geets</author>
  </authors>
  <commentList>
    <comment ref="D6" authorId="0" shapeId="0" xr:uid="{00000000-0006-0000-0300-000001000000}">
      <text>
        <r>
          <rPr>
            <sz val="9"/>
            <color indexed="81"/>
            <rFont val="Tahoma"/>
            <family val="2"/>
          </rPr>
          <t>Pour les jours spéciaux, mettez le curseur sur la sélection actuelle, cliquez sur la flèche et choisissez.</t>
        </r>
      </text>
    </comment>
    <comment ref="E6" authorId="0" shapeId="0" xr:uid="{00000000-0006-0000-0300-000002000000}">
      <text>
        <r>
          <rPr>
            <sz val="9"/>
            <color indexed="81"/>
            <rFont val="Tahoma"/>
            <family val="2"/>
          </rPr>
          <t>Faites un choix.
M = Allocation "mentor"
E = Frais réels d'enquête
ME = tous les deux</t>
        </r>
      </text>
    </comment>
    <comment ref="X6" authorId="0" shapeId="0" xr:uid="{00000000-0006-0000-0300-000003000000}">
      <text>
        <r>
          <rPr>
            <sz val="9"/>
            <color indexed="81"/>
            <rFont val="Tahoma"/>
            <family val="2"/>
          </rPr>
          <t>Seulement sous l'ancien statut ex-Gd.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Kenneth Geets</author>
  </authors>
  <commentList>
    <comment ref="D6" authorId="0" shapeId="0" xr:uid="{00000000-0006-0000-0C00-000001000000}">
      <text>
        <r>
          <rPr>
            <sz val="9"/>
            <color indexed="81"/>
            <rFont val="Tahoma"/>
            <family val="2"/>
          </rPr>
          <t>Pour les jours spéciaux, mettez le curseur sur la sélection actuelle, cliquez sur la flèche et choisissez.</t>
        </r>
      </text>
    </comment>
    <comment ref="E6" authorId="0" shapeId="0" xr:uid="{00000000-0006-0000-0C00-000002000000}">
      <text>
        <r>
          <rPr>
            <sz val="9"/>
            <color indexed="81"/>
            <rFont val="Tahoma"/>
            <family val="2"/>
          </rPr>
          <t>Faites un choix.
M = Allocation "mentor"
E = Frais réels d'enquête
ME = tous les deux</t>
        </r>
      </text>
    </comment>
    <comment ref="X6" authorId="0" shapeId="0" xr:uid="{00000000-0006-0000-0C00-000003000000}">
      <text>
        <r>
          <rPr>
            <sz val="9"/>
            <color indexed="81"/>
            <rFont val="Tahoma"/>
            <family val="2"/>
          </rPr>
          <t>Seulement sous l'ancien statut ex-Gd.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Kenneth Geets</author>
  </authors>
  <commentList>
    <comment ref="D6" authorId="0" shapeId="0" xr:uid="{00000000-0006-0000-0D00-000001000000}">
      <text>
        <r>
          <rPr>
            <sz val="9"/>
            <color indexed="81"/>
            <rFont val="Tahoma"/>
            <family val="2"/>
          </rPr>
          <t>Pour les jours spéciaux, mettez le curseur sur la sélection actuelle, cliquez sur la flèche et choisissez.</t>
        </r>
      </text>
    </comment>
    <comment ref="E6" authorId="0" shapeId="0" xr:uid="{00000000-0006-0000-0D00-000002000000}">
      <text>
        <r>
          <rPr>
            <sz val="9"/>
            <color indexed="81"/>
            <rFont val="Tahoma"/>
            <family val="2"/>
          </rPr>
          <t>Faites un choix.
M = Allocation "mentor"
E = Frais réels d'enquête
ME = tous les deux</t>
        </r>
      </text>
    </comment>
    <comment ref="X6" authorId="0" shapeId="0" xr:uid="{00000000-0006-0000-0D00-000003000000}">
      <text>
        <r>
          <rPr>
            <sz val="9"/>
            <color indexed="81"/>
            <rFont val="Tahoma"/>
            <family val="2"/>
          </rPr>
          <t>Seulement sous l'ancien statut ex-Gd.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Kenneth Geets</author>
  </authors>
  <commentList>
    <comment ref="D6" authorId="0" shapeId="0" xr:uid="{00000000-0006-0000-0E00-000001000000}">
      <text>
        <r>
          <rPr>
            <sz val="9"/>
            <color indexed="81"/>
            <rFont val="Tahoma"/>
            <family val="2"/>
          </rPr>
          <t>Pour les jours spéciaux, mettez le curseur sur la sélection actuelle, cliquez sur la flèche et choisissez.</t>
        </r>
      </text>
    </comment>
    <comment ref="E6" authorId="0" shapeId="0" xr:uid="{00000000-0006-0000-0E00-000002000000}">
      <text>
        <r>
          <rPr>
            <sz val="9"/>
            <color indexed="81"/>
            <rFont val="Tahoma"/>
            <family val="2"/>
          </rPr>
          <t>Faites un choix.
M = Allocation "mentor"
E = Frais réels d'enquête
ME = tous les deux</t>
        </r>
      </text>
    </comment>
    <comment ref="X6" authorId="0" shapeId="0" xr:uid="{00000000-0006-0000-0E00-000003000000}">
      <text>
        <r>
          <rPr>
            <sz val="9"/>
            <color indexed="81"/>
            <rFont val="Tahoma"/>
            <family val="2"/>
          </rPr>
          <t>Seulement sous l'ancien statut ex-Gd.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Kenneth Geets</author>
  </authors>
  <commentList>
    <comment ref="D6" authorId="0" shapeId="0" xr:uid="{00000000-0006-0000-0400-000001000000}">
      <text>
        <r>
          <rPr>
            <sz val="9"/>
            <color indexed="81"/>
            <rFont val="Tahoma"/>
            <family val="2"/>
          </rPr>
          <t>Pour les jours spéciaux, mettez le curseur sur la sélection actuelle, cliquez sur la flèche et choisissez.</t>
        </r>
      </text>
    </comment>
    <comment ref="E6" authorId="0" shapeId="0" xr:uid="{00000000-0006-0000-0400-000002000000}">
      <text>
        <r>
          <rPr>
            <sz val="9"/>
            <color indexed="81"/>
            <rFont val="Tahoma"/>
            <family val="2"/>
          </rPr>
          <t>Faites un choix.
M = Allocation "mentor"
E = Frais réels d'enquête
ME = tous les deux</t>
        </r>
      </text>
    </comment>
    <comment ref="X6" authorId="0" shapeId="0" xr:uid="{00000000-0006-0000-0400-000003000000}">
      <text>
        <r>
          <rPr>
            <sz val="9"/>
            <color indexed="81"/>
            <rFont val="Tahoma"/>
            <family val="2"/>
          </rPr>
          <t>Seulement sous l'ancien statut ex-Gd.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Kenneth Geets</author>
  </authors>
  <commentList>
    <comment ref="D6" authorId="0" shapeId="0" xr:uid="{00000000-0006-0000-0500-000001000000}">
      <text>
        <r>
          <rPr>
            <sz val="9"/>
            <color indexed="81"/>
            <rFont val="Tahoma"/>
            <family val="2"/>
          </rPr>
          <t>Pour les jours spéciaux, mettez le curseur sur la sélection actuelle, cliquez sur la flèche et choisissez.</t>
        </r>
      </text>
    </comment>
    <comment ref="E6" authorId="0" shapeId="0" xr:uid="{00000000-0006-0000-0500-000002000000}">
      <text>
        <r>
          <rPr>
            <sz val="9"/>
            <color indexed="81"/>
            <rFont val="Tahoma"/>
            <family val="2"/>
          </rPr>
          <t>Faites un choix.
M = Allocation "mentor"
E = Frais réels d'enquête
ME = tous les deux</t>
        </r>
      </text>
    </comment>
    <comment ref="X6" authorId="0" shapeId="0" xr:uid="{00000000-0006-0000-0500-000003000000}">
      <text>
        <r>
          <rPr>
            <sz val="9"/>
            <color indexed="81"/>
            <rFont val="Tahoma"/>
            <family val="2"/>
          </rPr>
          <t>Seulement sous l'ancien statut ex-Gd.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Kenneth Geets</author>
  </authors>
  <commentList>
    <comment ref="D6" authorId="0" shapeId="0" xr:uid="{00000000-0006-0000-0600-000001000000}">
      <text>
        <r>
          <rPr>
            <sz val="9"/>
            <color indexed="81"/>
            <rFont val="Tahoma"/>
            <family val="2"/>
          </rPr>
          <t>Pour les jours spéciaux, mettez le curseur sur la sélection actuelle, cliquez sur la flèche et choisissez.</t>
        </r>
      </text>
    </comment>
    <comment ref="E6" authorId="0" shapeId="0" xr:uid="{00000000-0006-0000-0600-000002000000}">
      <text>
        <r>
          <rPr>
            <sz val="9"/>
            <color indexed="81"/>
            <rFont val="Tahoma"/>
            <family val="2"/>
          </rPr>
          <t>Faites un choix.
M = Allocation "mentor"
E = Frais réels d'enquête
ME = tous les deux</t>
        </r>
      </text>
    </comment>
    <comment ref="X6" authorId="0" shapeId="0" xr:uid="{00000000-0006-0000-0600-000003000000}">
      <text>
        <r>
          <rPr>
            <sz val="9"/>
            <color indexed="81"/>
            <rFont val="Tahoma"/>
            <family val="2"/>
          </rPr>
          <t>Seulement sous l'ancien statut ex-Gd.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Kenneth Geets</author>
  </authors>
  <commentList>
    <comment ref="D6" authorId="0" shapeId="0" xr:uid="{00000000-0006-0000-0700-000001000000}">
      <text>
        <r>
          <rPr>
            <sz val="9"/>
            <color indexed="81"/>
            <rFont val="Tahoma"/>
            <family val="2"/>
          </rPr>
          <t>Pour les jours spéciaux, mettez le curseur sur la sélection actuelle, cliquez sur la flèche et choisissez.</t>
        </r>
      </text>
    </comment>
    <comment ref="E6" authorId="0" shapeId="0" xr:uid="{00000000-0006-0000-0700-000002000000}">
      <text>
        <r>
          <rPr>
            <sz val="9"/>
            <color indexed="81"/>
            <rFont val="Tahoma"/>
            <family val="2"/>
          </rPr>
          <t>Faites un choix.
M = Allocation "mentor"
E = Frais réels d'enquête
ME = tous les deux</t>
        </r>
      </text>
    </comment>
    <comment ref="X6" authorId="0" shapeId="0" xr:uid="{00000000-0006-0000-0700-000003000000}">
      <text>
        <r>
          <rPr>
            <sz val="9"/>
            <color indexed="81"/>
            <rFont val="Tahoma"/>
            <family val="2"/>
          </rPr>
          <t>Seulement sous l'ancien statut ex-Gd.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Kenneth Geets</author>
  </authors>
  <commentList>
    <comment ref="D6" authorId="0" shapeId="0" xr:uid="{00000000-0006-0000-0800-000001000000}">
      <text>
        <r>
          <rPr>
            <sz val="9"/>
            <color indexed="81"/>
            <rFont val="Tahoma"/>
            <family val="2"/>
          </rPr>
          <t>Pour les jours spéciaux, mettez le curseur sur la sélection actuelle, cliquez sur la flèche et choisissez.</t>
        </r>
      </text>
    </comment>
    <comment ref="E6" authorId="0" shapeId="0" xr:uid="{00000000-0006-0000-0800-000002000000}">
      <text>
        <r>
          <rPr>
            <sz val="9"/>
            <color indexed="81"/>
            <rFont val="Tahoma"/>
            <family val="2"/>
          </rPr>
          <t>Faites un choix.
M = Allocation "mentor"
E = Frais réels d'enquête
ME = tous les deux</t>
        </r>
      </text>
    </comment>
    <comment ref="X6" authorId="0" shapeId="0" xr:uid="{00000000-0006-0000-0800-000003000000}">
      <text>
        <r>
          <rPr>
            <sz val="9"/>
            <color indexed="81"/>
            <rFont val="Tahoma"/>
            <family val="2"/>
          </rPr>
          <t>Seulement sous l'ancien statut ex-Gd.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Kenneth Geets</author>
  </authors>
  <commentList>
    <comment ref="D6" authorId="0" shapeId="0" xr:uid="{00000000-0006-0000-0900-000001000000}">
      <text>
        <r>
          <rPr>
            <sz val="9"/>
            <color indexed="81"/>
            <rFont val="Tahoma"/>
            <family val="2"/>
          </rPr>
          <t>Pour les jours spéciaux, mettez le curseur sur la sélection actuelle, cliquez sur la flèche et choisissez.</t>
        </r>
      </text>
    </comment>
    <comment ref="E6" authorId="0" shapeId="0" xr:uid="{00000000-0006-0000-0900-000002000000}">
      <text>
        <r>
          <rPr>
            <sz val="9"/>
            <color indexed="81"/>
            <rFont val="Tahoma"/>
            <family val="2"/>
          </rPr>
          <t>Faites un choix.
M = Allocation "mentor"
E = Frais réels d'enquête
ME = tous les deux</t>
        </r>
      </text>
    </comment>
    <comment ref="X6" authorId="0" shapeId="0" xr:uid="{00000000-0006-0000-0900-000003000000}">
      <text>
        <r>
          <rPr>
            <sz val="9"/>
            <color indexed="81"/>
            <rFont val="Tahoma"/>
            <family val="2"/>
          </rPr>
          <t>Seulement sous l'ancien statut ex-Gd.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Kenneth Geets</author>
  </authors>
  <commentList>
    <comment ref="D6" authorId="0" shapeId="0" xr:uid="{00000000-0006-0000-0A00-000001000000}">
      <text>
        <r>
          <rPr>
            <sz val="9"/>
            <color indexed="81"/>
            <rFont val="Tahoma"/>
            <family val="2"/>
          </rPr>
          <t>Pour les jours spéciaux, mettez le curseur sur la sélection actuelle, cliquez sur la flèche et choisissez.</t>
        </r>
      </text>
    </comment>
    <comment ref="E6" authorId="0" shapeId="0" xr:uid="{00000000-0006-0000-0A00-000002000000}">
      <text>
        <r>
          <rPr>
            <sz val="9"/>
            <color indexed="81"/>
            <rFont val="Tahoma"/>
            <family val="2"/>
          </rPr>
          <t>Faites un choix.
M = Allocation "mentor"
E = Frais réels d'enquête
ME = tous les deux</t>
        </r>
      </text>
    </comment>
    <comment ref="X6" authorId="0" shapeId="0" xr:uid="{00000000-0006-0000-0A00-000003000000}">
      <text>
        <r>
          <rPr>
            <sz val="9"/>
            <color indexed="81"/>
            <rFont val="Tahoma"/>
            <family val="2"/>
          </rPr>
          <t>Seulement sous l'ancien statut ex-Gd.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Kenneth Geets</author>
  </authors>
  <commentList>
    <comment ref="D6" authorId="0" shapeId="0" xr:uid="{00000000-0006-0000-0B00-000001000000}">
      <text>
        <r>
          <rPr>
            <sz val="9"/>
            <color indexed="81"/>
            <rFont val="Tahoma"/>
            <family val="2"/>
          </rPr>
          <t>Pour les jours spéciaux, mettez le curseur sur la sélection actuelle, cliquez sur la flèche et choisissez.</t>
        </r>
      </text>
    </comment>
    <comment ref="E6" authorId="0" shapeId="0" xr:uid="{00000000-0006-0000-0B00-000002000000}">
      <text>
        <r>
          <rPr>
            <sz val="9"/>
            <color indexed="81"/>
            <rFont val="Tahoma"/>
            <family val="2"/>
          </rPr>
          <t>Faites un choix.
M = Allocation "mentor"
E = Frais réels d'enquête
ME = tous les deux</t>
        </r>
      </text>
    </comment>
    <comment ref="X6" authorId="0" shapeId="0" xr:uid="{00000000-0006-0000-0B00-000003000000}">
      <text>
        <r>
          <rPr>
            <sz val="9"/>
            <color indexed="81"/>
            <rFont val="Tahoma"/>
            <family val="2"/>
          </rPr>
          <t>Seulement sous l'ancien statut ex-Gd.</t>
        </r>
      </text>
    </comment>
  </commentList>
</comments>
</file>

<file path=xl/sharedStrings.xml><?xml version="1.0" encoding="utf-8"?>
<sst xmlns="http://schemas.openxmlformats.org/spreadsheetml/2006/main" count="3501" uniqueCount="332">
  <si>
    <t>O8</t>
  </si>
  <si>
    <t>O7</t>
  </si>
  <si>
    <t>O4bis</t>
  </si>
  <si>
    <t>O6ir</t>
  </si>
  <si>
    <t>O5ir</t>
  </si>
  <si>
    <t>O4ir</t>
  </si>
  <si>
    <t>O3ir</t>
  </si>
  <si>
    <t>O2ir</t>
  </si>
  <si>
    <t>O4bis-ir</t>
  </si>
  <si>
    <t>O6</t>
  </si>
  <si>
    <t>O5</t>
  </si>
  <si>
    <t>O4</t>
  </si>
  <si>
    <t>O3</t>
  </si>
  <si>
    <t>O2</t>
  </si>
  <si>
    <t>O1</t>
  </si>
  <si>
    <t>C4</t>
  </si>
  <si>
    <t>M7bis</t>
  </si>
  <si>
    <t>M7</t>
  </si>
  <si>
    <t>M6</t>
  </si>
  <si>
    <t>M5.2</t>
  </si>
  <si>
    <t>M5.1</t>
  </si>
  <si>
    <t>M4.2</t>
  </si>
  <si>
    <t>M4.1</t>
  </si>
  <si>
    <t>M3.2</t>
  </si>
  <si>
    <t>M3.1</t>
  </si>
  <si>
    <t>M2.2</t>
  </si>
  <si>
    <t>M2.1</t>
  </si>
  <si>
    <t>M1.2</t>
  </si>
  <si>
    <t>M1.1</t>
  </si>
  <si>
    <t>B5</t>
  </si>
  <si>
    <t>B4</t>
  </si>
  <si>
    <t>B3</t>
  </si>
  <si>
    <t>B2</t>
  </si>
  <si>
    <t>B1</t>
  </si>
  <si>
    <t>HAU3</t>
  </si>
  <si>
    <t>HAU2</t>
  </si>
  <si>
    <t>HAU1</t>
  </si>
  <si>
    <t>NETTOBEZOLDINGING</t>
  </si>
  <si>
    <t>Jaarbedrag bruto-bezoldiging</t>
  </si>
  <si>
    <t>% Afhouding op vergoedingen en toelagen</t>
  </si>
  <si>
    <t>%</t>
  </si>
  <si>
    <t>+/-</t>
  </si>
  <si>
    <t>Mi</t>
  </si>
  <si>
    <t>WE</t>
  </si>
  <si>
    <t>norm.</t>
  </si>
  <si>
    <t>REST</t>
  </si>
  <si>
    <t>NACHT</t>
  </si>
  <si>
    <t>NACHT EX-GD.</t>
  </si>
  <si>
    <t>MAALTIJDEN</t>
  </si>
  <si>
    <t>MORGEN</t>
  </si>
  <si>
    <t>MIDDAG</t>
  </si>
  <si>
    <t>AVOND</t>
  </si>
  <si>
    <t>Mentor-toelage</t>
  </si>
  <si>
    <t>Onderzoeks-kosten</t>
  </si>
  <si>
    <t>Adm</t>
  </si>
  <si>
    <t>€</t>
  </si>
  <si>
    <t>km</t>
  </si>
  <si>
    <t>Mentor</t>
  </si>
  <si>
    <t xml:space="preserve">Taal/Langue:     </t>
  </si>
  <si>
    <t>Nederlands</t>
  </si>
  <si>
    <t>FEESTDAG GEWERKT</t>
  </si>
  <si>
    <t>Calog</t>
  </si>
  <si>
    <t>SCHAAL</t>
  </si>
  <si>
    <t>WEDDE</t>
  </si>
  <si>
    <t>Uurloon bruto nieuw statuut:</t>
  </si>
  <si>
    <t>Uurloon netto nieuw statuut:</t>
  </si>
  <si>
    <t>Geïndexeerd loon:</t>
  </si>
  <si>
    <t>7,5% van geïndexeerd loon:</t>
  </si>
  <si>
    <t>3,55% van geïndexeerd loon:</t>
  </si>
  <si>
    <t>Resultaat:</t>
  </si>
  <si>
    <t>Percentage afhouding:</t>
  </si>
  <si>
    <t>Netto percent vergoeding:</t>
  </si>
  <si>
    <t>Nettoloon oud statuut:</t>
  </si>
  <si>
    <t>Weekend/uren oud statuut:</t>
  </si>
  <si>
    <t>Overuren oud statuut:</t>
  </si>
  <si>
    <t>INDEX</t>
  </si>
  <si>
    <t>Nachturen oud statuut:</t>
  </si>
  <si>
    <t>Nachturen 19-22 aan 20%:</t>
  </si>
  <si>
    <t>Nachturen 22-06 aan 35%:</t>
  </si>
  <si>
    <t>Morgenmaal:</t>
  </si>
  <si>
    <t>Middagmaal:</t>
  </si>
  <si>
    <t>Avondmaal:</t>
  </si>
  <si>
    <t>Nachtmaal:</t>
  </si>
  <si>
    <t>Vergoeding bereikbaar:</t>
  </si>
  <si>
    <t>Verg. Bereikbaar &amp; terugroepb.:</t>
  </si>
  <si>
    <t>WM</t>
  </si>
  <si>
    <t>1WM</t>
  </si>
  <si>
    <t>OWM</t>
  </si>
  <si>
    <t>1OWM</t>
  </si>
  <si>
    <t>ADC</t>
  </si>
  <si>
    <t>20(0)</t>
  </si>
  <si>
    <t>21(1)</t>
  </si>
  <si>
    <t>22(2)</t>
  </si>
  <si>
    <t>23(3)</t>
  </si>
  <si>
    <t>24(4)</t>
  </si>
  <si>
    <t>25(5)</t>
  </si>
  <si>
    <t>27(7)</t>
  </si>
  <si>
    <t>29(9)</t>
  </si>
  <si>
    <t>31(11)</t>
  </si>
  <si>
    <t>33(13)</t>
  </si>
  <si>
    <t>35(15)</t>
  </si>
  <si>
    <t>37(17)</t>
  </si>
  <si>
    <t>39(19)</t>
  </si>
  <si>
    <t>41(21)</t>
  </si>
  <si>
    <t>43(23)</t>
  </si>
  <si>
    <t>45(25)</t>
  </si>
  <si>
    <t>47(27)</t>
  </si>
  <si>
    <t>49(29)</t>
  </si>
  <si>
    <t>ADJT</t>
  </si>
  <si>
    <t>RGB ROOD</t>
  </si>
  <si>
    <t>RGB BLAUW</t>
  </si>
  <si>
    <t>Service</t>
  </si>
  <si>
    <t>de</t>
  </si>
  <si>
    <t>à</t>
  </si>
  <si>
    <t>Vous pouvez enregistrer jusqu'à trois prestations de service ou blocs le même jour. IMPORTANT: N’oubliez pas de séparer les heures et les minutes par le double point (:) ! Les heures prestées doivent être transcrits dans les colonnes F, G, H, I, J et K comme suit:</t>
  </si>
  <si>
    <t>1. Introduction: comment enregistrer vos prestations?</t>
  </si>
  <si>
    <t>2. Onglet “Configuration”</t>
  </si>
  <si>
    <t>3. Onglet “Types de jours”</t>
  </si>
  <si>
    <t>page 1 de 4</t>
  </si>
  <si>
    <t>page 3 de 4</t>
  </si>
  <si>
    <t>page 2 de 4</t>
  </si>
  <si>
    <t>page 4 de 4</t>
  </si>
  <si>
    <t xml:space="preserve">4. Service “contactable” (onglet mensuel - colonne Z) </t>
  </si>
  <si>
    <t>Si vous êtes de service “contactable”, remplissez la durée de votre disponibilité (par ex. 02:30) dans la colonne “cont.”. La rémunération est calculée automatiquement en bas de l’onglet.</t>
  </si>
  <si>
    <t xml:space="preserve">5. Service “contactable et rappelable” (onglet mensuel - colonne AA) </t>
  </si>
  <si>
    <t>Si vous êtes de service “contactable et rappelable”, remplissez la durée de votre disponibilité (par ex. 05:45) dans la colonne “cont./rapp.”. La rémunération est calculée automatiquement en bas de l’onglet.</t>
  </si>
  <si>
    <t>6. Prestation de service (onglet mensuel - colonnes F, G, H, I, J et K)</t>
  </si>
  <si>
    <t>Remplissez le début de votre service à la bonne date sous "de" et la fin de votre service "à". Utilisez toujours deux chiffres pour l'heure, un ':', et deux chiffres pour les minutes. Ex: 08h12. Lorsque vous prenez des pauses remplissez le service "à" et ensuite un autre service "de" "à".</t>
  </si>
  <si>
    <t xml:space="preserve">7. Fin période de référence (relevé mensuel en bas de chaque onglet mensuel) </t>
  </si>
  <si>
    <t>Si la période de référence n’est pas achevée, les heures sont automatiquement reportées au mois suivant. Si vous entrez "Oui" (mettez le curseur sur la sélection actuelle, cliquez sur la flèche, sélectionnez "Oui"), la période de référence est clôturée et l’éventuelle indemnité pour heures supplémentaires est calculée dans le relevé mensuel. Si néanmoins il y a encore des heures à transférer à la prochaine période de référence, ils doivent être saisis manuellement dans "heures à reporter".</t>
  </si>
  <si>
    <t>8. Nouveau statut (onglet mensuel - au-dessus du tableau des prestations)</t>
  </si>
  <si>
    <t>Si vous voulez calculer les indemnités dans le cadre du nouveau statut, cliquez sur le choix actuel (Oui/Non), cliquez sur la flèche qui apparaît et sélectionnez "Oui". Cette option est réglée par défaut sur "Oui".</t>
  </si>
  <si>
    <t>9. Statut ex-Gd (onglet mensuel - au-dessus du tableau des prestations)</t>
  </si>
  <si>
    <t>10. Indemnité vélo - l'utilisation de la bicyclette (onglet mensuel - colonne Y)</t>
  </si>
  <si>
    <t>Enrégistrez le kilométrage de l'itinéraire approuvé, chaque jour que vous avez réellement utilisé le vélo pour votre chemin de travail. L’indemnité est calculée en bas de l’onglet dans le relevé mensuel.</t>
  </si>
  <si>
    <t>11. Indemnité pour frais de repas (onglet mensuel - colonnes Q, R, S en T)</t>
  </si>
  <si>
    <t>12. Relevé mensuel (onglet mensuel - en bas)</t>
  </si>
  <si>
    <t xml:space="preserve">Dans les deux cases rouges/ocres à la droite du "Relevé mensuel" vous mettez votre échelle barémique dans la partie supérieure (voir l'onglet "Barèmes" pour trouver l'échelle barémique) et dans la case en-dessous vous mettez votre ancienneté dans cette échelle barémique. En cas de doute, ces données peuvent être trouvées sur votre feuille de paie mensuelle. Dans les deux cases rouges/ocres sous "Sauvegarde Ex-Gd" vous pouvez remplir le barème appliquable (salaire annuel non indexé) que vous pouvez trouver sous l’onglet "Barèmes Ex-Gd". À l'extrême droite, vous pouvez adapter l'indice des salaires chaque fois qu'il change. Vous pouvez aussi trouver cet indice sur votre feuille de paie. L’ indice le plus actuel au moment du lancement de cette application est rempli par défaut. </t>
  </si>
  <si>
    <t>13. Allocation “mentor” et indemnité “frais réels d’enquête” (onglet mensuel - colonne E)</t>
  </si>
  <si>
    <t>Sélectionnez la bonne date sous la colonne "ME" et cliquez sur la flèche qui apparaît. Choisissez "M" pour enrégistrer le droit à l’allocation "Mentor". Sélectionnez "E" pour enregistrer le droit à l’indemnité "Frais réels d’enquête". Sélectionnez "ME" si pour ce jour-là vouq avez droit aussi bien à à l’allocation "Mentor" qu’à l’indemnité "Frais réels d’enquête".</t>
  </si>
  <si>
    <t>14. Heures à reporter (onglet mensuel - à gauche du relevé mensuel)</t>
  </si>
  <si>
    <t>15. Type de jour (onglet mensuel - colonne D)</t>
  </si>
  <si>
    <t>Sélectionnez la bonne date sous la colonne "Type de jour" et cliquez sur la flèche qui apparaît. Ensuite, vous obtenez une liste avec différents types de jours (congé, maladie, jour de pont, jour férier en semaine, ...). Cette liste est définie dans l'onglet "Types de jours", où vous pouvez ajouter manuellement des options supplémentaires. Après avoir sélectionné le type de jour désiré, les heures de prestation, congé etc. sont automatiquement calculés.</t>
  </si>
  <si>
    <t>16. Fiche de congé (onglet mensuel - à gauche du relevé mensuel)</t>
  </si>
  <si>
    <t>Cette feuille calcule automatiquement combien de congé vous avez, combien de jours de vacances vous prenez et à quoi vous avez encore droit. Dans la case rouge/ocre à côté de "jours supplémentaires" vous pouvez remplir le nombre de jours supplémentaires de congé qui ne vous sont pas attribué automatiquement, ex. un ou deux jours du chef de corps ou du commissaire général, ou un jour compensatoire pour un jour férier dans le week-end qui n’a pas été fixé comme jour de pont.</t>
  </si>
  <si>
    <t xml:space="preserve">Date de naissance:     </t>
  </si>
  <si>
    <t xml:space="preserve">Nom + Prénom:     </t>
  </si>
  <si>
    <t>1. Données de l'utilisateur</t>
  </si>
  <si>
    <t xml:space="preserve">     (Eventuellement)</t>
  </si>
  <si>
    <t>2. Données à transférer de l'année passée</t>
  </si>
  <si>
    <t xml:space="preserve">Heures supplémentaires:     </t>
  </si>
  <si>
    <t xml:space="preserve">Heures déficitaires:     </t>
  </si>
  <si>
    <t xml:space="preserve">Heures de congé:     </t>
  </si>
  <si>
    <t xml:space="preserve">Jours de congé:     </t>
  </si>
  <si>
    <t>3. Données de service</t>
  </si>
  <si>
    <t xml:space="preserve">Régime:     </t>
  </si>
  <si>
    <t>A temps plein</t>
  </si>
  <si>
    <t xml:space="preserve">     (choisissez)</t>
  </si>
  <si>
    <t xml:space="preserve">     (si applicable)</t>
  </si>
  <si>
    <t>4. Types de jours</t>
  </si>
  <si>
    <t>Congé</t>
  </si>
  <si>
    <t>1/2 Congé</t>
  </si>
  <si>
    <t>1/2 Congé + 1/2 synd.</t>
  </si>
  <si>
    <t>SYNDICAAL Congé</t>
  </si>
  <si>
    <t>Congé in dagen of uren:</t>
  </si>
  <si>
    <t>Malade</t>
  </si>
  <si>
    <t>Jour de pont</t>
  </si>
  <si>
    <t>Congé 12h</t>
  </si>
  <si>
    <t>Jour libre 4/5</t>
  </si>
  <si>
    <t>Vous pouvez ajouter manuellement des options supplémentaires.</t>
  </si>
  <si>
    <t>Faites attention que chaque type de jour a un nom unique!</t>
  </si>
  <si>
    <t>Age</t>
  </si>
  <si>
    <t>Temps</t>
  </si>
  <si>
    <t>SNPS asbl</t>
  </si>
  <si>
    <t xml:space="preserve">Transférées:     </t>
  </si>
  <si>
    <t xml:space="preserve">Heures suppl.:  </t>
  </si>
  <si>
    <t xml:space="preserve">Heures déficit.:  </t>
  </si>
  <si>
    <t xml:space="preserve">Nouveau statut:     </t>
  </si>
  <si>
    <t xml:space="preserve">Statut ex-Gd:     </t>
  </si>
  <si>
    <t>Oui</t>
  </si>
  <si>
    <t>Non</t>
  </si>
  <si>
    <t>Jour</t>
  </si>
  <si>
    <t>Date</t>
  </si>
  <si>
    <t>Type de jour</t>
  </si>
  <si>
    <t>ME</t>
  </si>
  <si>
    <t>Prestations</t>
  </si>
  <si>
    <t>jour</t>
  </si>
  <si>
    <t>total</t>
  </si>
  <si>
    <t>Différence</t>
  </si>
  <si>
    <t>Repas</t>
  </si>
  <si>
    <t>heures</t>
  </si>
  <si>
    <t>NUIT</t>
  </si>
  <si>
    <t>NUIT 19h-7h</t>
  </si>
  <si>
    <t>19h-22h</t>
  </si>
  <si>
    <t>22h-6h</t>
  </si>
  <si>
    <t>Indem.</t>
  </si>
  <si>
    <t>Vélo</t>
  </si>
  <si>
    <t>Remarques</t>
  </si>
  <si>
    <t>Ma</t>
  </si>
  <si>
    <t>So</t>
  </si>
  <si>
    <t>Nu</t>
  </si>
  <si>
    <t>Fiche de congé:</t>
  </si>
  <si>
    <t>JOURS</t>
  </si>
  <si>
    <t>Jours supplémentaires:</t>
  </si>
  <si>
    <t>Congé pris:</t>
  </si>
  <si>
    <t>Jours disponibles:</t>
  </si>
  <si>
    <t>FIN PERIODE DE REF. ?</t>
  </si>
  <si>
    <t>HEURES A TRANSFERER:</t>
  </si>
  <si>
    <t>(seulement a la fin de la periode de réf.)</t>
  </si>
  <si>
    <t>Nombre d'heures suppl.:</t>
  </si>
  <si>
    <t>Nombre d'heures déficit.:</t>
  </si>
  <si>
    <t>% PRECOMPTE:</t>
  </si>
  <si>
    <t>Sauvegarde Ex-Gd</t>
  </si>
  <si>
    <t>Nouveau statut</t>
  </si>
  <si>
    <t>jours</t>
  </si>
  <si>
    <t>Heures WE</t>
  </si>
  <si>
    <t>Heures Nuit (22-06)</t>
  </si>
  <si>
    <t>Heures Nuit (19-22)</t>
  </si>
  <si>
    <t>Heures Nuit (19-07)</t>
  </si>
  <si>
    <t>Repas Matin</t>
  </si>
  <si>
    <t>Repas Midi</t>
  </si>
  <si>
    <t>Repas Soir</t>
  </si>
  <si>
    <t>Repas Nuit</t>
  </si>
  <si>
    <t xml:space="preserve"> Repas Matin *</t>
  </si>
  <si>
    <t xml:space="preserve"> Repas Midi *</t>
  </si>
  <si>
    <t xml:space="preserve"> Repas Soir *</t>
  </si>
  <si>
    <t xml:space="preserve"> Repas Nuit *</t>
  </si>
  <si>
    <t>Heures Sup. à payer</t>
  </si>
  <si>
    <t>Frais réels d'enquête</t>
  </si>
  <si>
    <t>Indemnité de vélo</t>
  </si>
  <si>
    <t>Contactable + Rapp.</t>
  </si>
  <si>
    <t>Relevé mensuel Janvier</t>
  </si>
  <si>
    <t>Relevé mensuel Février</t>
  </si>
  <si>
    <t>Relevé mensuel Mars</t>
  </si>
  <si>
    <t>Relevé mensuel Avril</t>
  </si>
  <si>
    <t>Relevé mensuel Mai</t>
  </si>
  <si>
    <t>Relevé mensuel Juin</t>
  </si>
  <si>
    <t>Relevé mensuel Juillet</t>
  </si>
  <si>
    <t>Relevé mensuel Août</t>
  </si>
  <si>
    <t>Relevé mensuel Septembre</t>
  </si>
  <si>
    <t>Relevé mensuel Octobre</t>
  </si>
  <si>
    <t>Relevé mensuel Novembre</t>
  </si>
  <si>
    <t>Relevé mensuel Décembre</t>
  </si>
  <si>
    <t>HEURES</t>
  </si>
  <si>
    <t>Contactable</t>
  </si>
  <si>
    <t>Cont.</t>
  </si>
  <si>
    <t>Cont./</t>
  </si>
  <si>
    <t>Rapp.</t>
  </si>
  <si>
    <t xml:space="preserve">Numéro de membre du SNPS:     </t>
  </si>
  <si>
    <t xml:space="preserve">Nombre d'heures/jour:     </t>
  </si>
  <si>
    <t xml:space="preserve">Nombre différent d'heures/jour:     </t>
  </si>
  <si>
    <t>Si vos prestations de service couvrent toute la durée d'une ou plusieurs périodes de repas, l’indemnité forfaitaire (la petite) est automatiquement calculée. Si, en dépit d'une interruption de service, vous avez néanmoins droit à cette indemnité (ex. voyage de service), vous pouvez manuellement remplir un '1' pour le ou les repas concernés (Ma = Matin, Mi = midi, So = Soir, Nu = Nuit). Si vous avez droit à la grande indemnité (forfaitaire) de repas vous remplissez au bon endroit le chiffre '2'.</t>
  </si>
  <si>
    <t>Acc. de travail</t>
  </si>
  <si>
    <t>* consultez instruct.</t>
  </si>
  <si>
    <t>Solde:</t>
  </si>
  <si>
    <t>Congé Synd.</t>
  </si>
  <si>
    <t>1/2 Congé Synd.</t>
  </si>
  <si>
    <t>Dans l'onglet "Configuration", point 1, remplissez votre nom, votre date de naissance et éventuellement votre numéro de membre du SNPS. Remplissez le point 2 pour entrer les heures supplémentaires ou déficitaires, et les jours congé à reporter. Si vous voulez calculer votre congé en heures, remplissez le champ approprié avec les heures à reporter. Dans le point 3 vous pouvez modifier le nombre de jours de congé en 2015 ou votre régime d'emploi si nécessaire. Si vous travaillez dans un régime avec un autre nombre d'heures par jour (autre que 07:36 h), remplissez le troisième champ "nombre différent d'heures/jour". Le champ au milieu s’ajustera automatiquement et tous les calculs de prestations suivants se baseront sur ce régime différent.</t>
  </si>
  <si>
    <t>INDEM. DE VELO</t>
  </si>
  <si>
    <t>Jour férié semaine</t>
  </si>
  <si>
    <t>Jours fériés/de pont travaillés:</t>
  </si>
  <si>
    <t>Total</t>
  </si>
  <si>
    <t xml:space="preserve">Total     </t>
  </si>
  <si>
    <t>BASP1</t>
  </si>
  <si>
    <t>BASP2</t>
  </si>
  <si>
    <t>BASP3</t>
  </si>
  <si>
    <t>BASP4</t>
  </si>
  <si>
    <t>OTT Tool 2024</t>
  </si>
  <si>
    <t>HAU4</t>
  </si>
  <si>
    <t>O8bis</t>
  </si>
  <si>
    <t>A11</t>
  </si>
  <si>
    <t>A12</t>
  </si>
  <si>
    <t>A21</t>
  </si>
  <si>
    <t>A22</t>
  </si>
  <si>
    <t>A23</t>
  </si>
  <si>
    <t>A31</t>
  </si>
  <si>
    <t>A32</t>
  </si>
  <si>
    <t>A33</t>
  </si>
  <si>
    <t>A41</t>
  </si>
  <si>
    <t>A42</t>
  </si>
  <si>
    <t>A43</t>
  </si>
  <si>
    <t>A51</t>
  </si>
  <si>
    <t>A52</t>
  </si>
  <si>
    <t>A53</t>
  </si>
  <si>
    <t>BB1</t>
  </si>
  <si>
    <t>BB2</t>
  </si>
  <si>
    <t>BB3</t>
  </si>
  <si>
    <t>BB4</t>
  </si>
  <si>
    <t>B1A</t>
  </si>
  <si>
    <t>B2A</t>
  </si>
  <si>
    <t>B3A</t>
  </si>
  <si>
    <t>B4A</t>
  </si>
  <si>
    <t>B1B</t>
  </si>
  <si>
    <t>B2B</t>
  </si>
  <si>
    <t>B3B</t>
  </si>
  <si>
    <t>B4B</t>
  </si>
  <si>
    <t>B1C</t>
  </si>
  <si>
    <t>B2C</t>
  </si>
  <si>
    <t>B3C</t>
  </si>
  <si>
    <t>B4C</t>
  </si>
  <si>
    <t>B1D</t>
  </si>
  <si>
    <t>B2D</t>
  </si>
  <si>
    <t>B3D</t>
  </si>
  <si>
    <t>B4D</t>
  </si>
  <si>
    <t>CC1</t>
  </si>
  <si>
    <t>CC2</t>
  </si>
  <si>
    <t>CC3</t>
  </si>
  <si>
    <t>CC4</t>
  </si>
  <si>
    <t>C1A</t>
  </si>
  <si>
    <t>C2A</t>
  </si>
  <si>
    <t>C3A</t>
  </si>
  <si>
    <t>C4A</t>
  </si>
  <si>
    <t>C1D</t>
  </si>
  <si>
    <t>C2D</t>
  </si>
  <si>
    <t>C3D</t>
  </si>
  <si>
    <t>C4D</t>
  </si>
  <si>
    <t>DD1</t>
  </si>
  <si>
    <t>DD2</t>
  </si>
  <si>
    <t>DD3</t>
  </si>
  <si>
    <t>DD4</t>
  </si>
  <si>
    <t>D1A</t>
  </si>
  <si>
    <t>D2A</t>
  </si>
  <si>
    <t>D3A</t>
  </si>
  <si>
    <t>D4A</t>
  </si>
  <si>
    <t>D1B</t>
  </si>
  <si>
    <t>D2B</t>
  </si>
  <si>
    <t>D3B</t>
  </si>
  <si>
    <t>D4B</t>
  </si>
  <si>
    <t>D1C</t>
  </si>
  <si>
    <t>D2C</t>
  </si>
  <si>
    <t>D3C</t>
  </si>
  <si>
    <t>D4C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</si>
</sst>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h:mm;@"/>
    <numFmt numFmtId="165" formatCode="dd/mm"/>
    <numFmt numFmtId="166" formatCode="[hh]:mm"/>
    <numFmt numFmtId="167" formatCode="0.0000"/>
    <numFmt numFmtId="168" formatCode="[hh]"/>
    <numFmt numFmtId="169" formatCode="General\ &quot;€&quot;"/>
  </numFmts>
  <fonts count="33" x14ac:knownFonts="1">
    <font>
      <sz val="11"/>
      <color theme="1"/>
      <name val="Calibri"/>
      <family val="2"/>
      <scheme val="minor"/>
    </font>
    <font>
      <sz val="8"/>
      <name val="Cambria"/>
      <family val="1"/>
    </font>
    <font>
      <sz val="11"/>
      <name val="Cambria"/>
      <family val="1"/>
    </font>
    <font>
      <sz val="8"/>
      <color indexed="8"/>
      <name val="Cambria"/>
      <family val="1"/>
    </font>
    <font>
      <b/>
      <sz val="8"/>
      <color indexed="8"/>
      <name val="Cambria"/>
      <family val="1"/>
    </font>
    <font>
      <b/>
      <sz val="8"/>
      <name val="Cambria"/>
      <family val="1"/>
    </font>
    <font>
      <b/>
      <sz val="9"/>
      <name val="Cambria"/>
      <family val="1"/>
    </font>
    <font>
      <i/>
      <sz val="9"/>
      <name val="Cambria"/>
      <family val="1"/>
    </font>
    <font>
      <sz val="9"/>
      <name val="Cambria"/>
      <family val="1"/>
    </font>
    <font>
      <sz val="9"/>
      <color indexed="81"/>
      <name val="Tahoma"/>
      <family val="2"/>
    </font>
    <font>
      <sz val="8"/>
      <name val="Arial"/>
      <family val="2"/>
    </font>
    <font>
      <b/>
      <sz val="8"/>
      <name val="Arial"/>
      <family val="2"/>
    </font>
    <font>
      <sz val="11"/>
      <name val="Cambria"/>
      <family val="1"/>
    </font>
    <font>
      <sz val="11"/>
      <color theme="1"/>
      <name val="Calibri"/>
      <family val="2"/>
      <scheme val="minor"/>
    </font>
    <font>
      <sz val="11"/>
      <color theme="1"/>
      <name val="Cambria"/>
      <family val="1"/>
    </font>
    <font>
      <b/>
      <sz val="8"/>
      <color theme="1"/>
      <name val="Cambria"/>
      <family val="1"/>
    </font>
    <font>
      <sz val="10"/>
      <color theme="1"/>
      <name val="Cambria"/>
      <family val="1"/>
    </font>
    <font>
      <b/>
      <sz val="9"/>
      <color theme="1"/>
      <name val="Cambria"/>
      <family val="1"/>
    </font>
    <font>
      <sz val="9"/>
      <color theme="1"/>
      <name val="Cambria"/>
      <family val="1"/>
    </font>
    <font>
      <sz val="10"/>
      <color rgb="FFBD4A26"/>
      <name val="Cambria"/>
      <family val="1"/>
    </font>
    <font>
      <b/>
      <sz val="9"/>
      <color theme="0"/>
      <name val="Cambria"/>
      <family val="1"/>
    </font>
    <font>
      <i/>
      <sz val="11"/>
      <color theme="1"/>
      <name val="Cambria"/>
      <family val="1"/>
    </font>
    <font>
      <b/>
      <u/>
      <sz val="12"/>
      <color theme="1"/>
      <name val="Cambria"/>
      <family val="1"/>
    </font>
    <font>
      <i/>
      <sz val="10"/>
      <color theme="1"/>
      <name val="Cambria"/>
      <family val="1"/>
    </font>
    <font>
      <b/>
      <u/>
      <sz val="11"/>
      <color theme="1"/>
      <name val="Cambria"/>
      <family val="1"/>
    </font>
    <font>
      <b/>
      <sz val="10"/>
      <color theme="1"/>
      <name val="Cambria"/>
      <family val="1"/>
    </font>
    <font>
      <b/>
      <sz val="8"/>
      <color theme="0"/>
      <name val="Arial"/>
      <family val="2"/>
    </font>
    <font>
      <b/>
      <sz val="11"/>
      <color theme="1"/>
      <name val="Cambria"/>
      <family val="1"/>
    </font>
    <font>
      <sz val="11"/>
      <color rgb="FF000000"/>
      <name val="Cambria"/>
      <family val="1"/>
    </font>
    <font>
      <sz val="8"/>
      <color theme="0"/>
      <name val="Cambria"/>
      <family val="1"/>
    </font>
    <font>
      <i/>
      <sz val="9"/>
      <color theme="1"/>
      <name val="Cambria"/>
      <family val="1"/>
    </font>
    <font>
      <b/>
      <sz val="10"/>
      <color rgb="FFBD4A26"/>
      <name val="Cambria"/>
      <family val="1"/>
    </font>
    <font>
      <b/>
      <sz val="11"/>
      <color theme="0"/>
      <name val="Cambria"/>
      <family val="1"/>
    </font>
  </fonts>
  <fills count="5">
    <fill>
      <patternFill patternType="none"/>
    </fill>
    <fill>
      <patternFill patternType="gray125"/>
    </fill>
    <fill>
      <patternFill patternType="solid">
        <fgColor theme="0"/>
        <bgColor indexed="64"/>
      </patternFill>
    </fill>
    <fill>
      <patternFill patternType="solid">
        <fgColor rgb="FFBD4A26"/>
        <bgColor indexed="64"/>
      </patternFill>
    </fill>
    <fill>
      <patternFill patternType="solid">
        <fgColor rgb="FF94B7BC"/>
        <bgColor indexed="64"/>
      </patternFill>
    </fill>
  </fills>
  <borders count="70">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hair">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BD4A26"/>
      </right>
      <top style="thin">
        <color rgb="FFBD4A26"/>
      </top>
      <bottom/>
      <diagonal/>
    </border>
    <border>
      <left/>
      <right style="thin">
        <color rgb="FFBD4A26"/>
      </right>
      <top/>
      <bottom/>
      <diagonal/>
    </border>
    <border>
      <left/>
      <right style="thin">
        <color rgb="FFBD4A26"/>
      </right>
      <top/>
      <bottom style="dashed">
        <color rgb="FFBD4A26"/>
      </bottom>
      <diagonal/>
    </border>
    <border>
      <left/>
      <right style="thin">
        <color rgb="FFBD4A26"/>
      </right>
      <top/>
      <bottom style="thin">
        <color rgb="FFBD4A26"/>
      </bottom>
      <diagonal/>
    </border>
    <border>
      <left style="thin">
        <color rgb="FFBD4A26"/>
      </left>
      <right style="dashed">
        <color rgb="FFBD4A26"/>
      </right>
      <top style="dashed">
        <color rgb="FFBD4A26"/>
      </top>
      <bottom style="thin">
        <color rgb="FFBD4A26"/>
      </bottom>
      <diagonal/>
    </border>
    <border>
      <left style="dashed">
        <color rgb="FFBD4A26"/>
      </left>
      <right style="thin">
        <color rgb="FFBD4A26"/>
      </right>
      <top style="dashed">
        <color rgb="FFBD4A26"/>
      </top>
      <bottom style="thin">
        <color rgb="FFBD4A26"/>
      </bottom>
      <diagonal/>
    </border>
    <border>
      <left/>
      <right/>
      <top style="thin">
        <color rgb="FFBD4A26"/>
      </top>
      <bottom/>
      <diagonal/>
    </border>
    <border>
      <left style="thin">
        <color rgb="FFBD4A26"/>
      </left>
      <right style="dashed">
        <color rgb="FFBD4A26"/>
      </right>
      <top style="dashed">
        <color rgb="FFBD4A26"/>
      </top>
      <bottom style="dashed">
        <color rgb="FFBD4A26"/>
      </bottom>
      <diagonal/>
    </border>
    <border>
      <left style="dashed">
        <color rgb="FFBD4A26"/>
      </left>
      <right style="thin">
        <color rgb="FFBD4A26"/>
      </right>
      <top style="dashed">
        <color rgb="FFBD4A26"/>
      </top>
      <bottom style="dashed">
        <color rgb="FFBD4A26"/>
      </bottom>
      <diagonal/>
    </border>
    <border>
      <left style="thin">
        <color rgb="FFBD4A26"/>
      </left>
      <right/>
      <top/>
      <bottom style="thin">
        <color rgb="FFBD4A26"/>
      </bottom>
      <diagonal/>
    </border>
    <border>
      <left/>
      <right/>
      <top/>
      <bottom style="thin">
        <color rgb="FFBD4A26"/>
      </bottom>
      <diagonal/>
    </border>
    <border>
      <left style="thin">
        <color rgb="FFBD4A26"/>
      </left>
      <right/>
      <top style="thin">
        <color rgb="FFBD4A26"/>
      </top>
      <bottom/>
      <diagonal/>
    </border>
    <border>
      <left/>
      <right style="hair">
        <color rgb="FFBD4A26"/>
      </right>
      <top style="thin">
        <color rgb="FFBD4A26"/>
      </top>
      <bottom/>
      <diagonal/>
    </border>
    <border>
      <left style="hair">
        <color rgb="FFBD4A26"/>
      </left>
      <right/>
      <top style="thin">
        <color rgb="FFBD4A26"/>
      </top>
      <bottom/>
      <diagonal/>
    </border>
    <border>
      <left style="thin">
        <color rgb="FFBD4A26"/>
      </left>
      <right/>
      <top/>
      <bottom/>
      <diagonal/>
    </border>
    <border>
      <left/>
      <right style="hair">
        <color rgb="FFBD4A26"/>
      </right>
      <top/>
      <bottom/>
      <diagonal/>
    </border>
    <border>
      <left style="hair">
        <color rgb="FFBD4A26"/>
      </left>
      <right/>
      <top/>
      <bottom/>
      <diagonal/>
    </border>
    <border>
      <left/>
      <right style="hair">
        <color rgb="FFBD4A26"/>
      </right>
      <top/>
      <bottom style="thin">
        <color rgb="FFBD4A26"/>
      </bottom>
      <diagonal/>
    </border>
    <border>
      <left style="hair">
        <color rgb="FFBD4A26"/>
      </left>
      <right/>
      <top/>
      <bottom style="thin">
        <color rgb="FFBD4A26"/>
      </bottom>
      <diagonal/>
    </border>
    <border>
      <left/>
      <right style="thin">
        <color rgb="FFBD4A26"/>
      </right>
      <top style="thin">
        <color rgb="FFBD4A26"/>
      </top>
      <bottom style="thin">
        <color rgb="FFBD4A26"/>
      </bottom>
      <diagonal/>
    </border>
    <border>
      <left/>
      <right/>
      <top style="thin">
        <color rgb="FFBD4A26"/>
      </top>
      <bottom style="thin">
        <color rgb="FFBD4A26"/>
      </bottom>
      <diagonal/>
    </border>
    <border>
      <left style="thin">
        <color rgb="FFBD4A26"/>
      </left>
      <right/>
      <top style="thin">
        <color rgb="FFBD4A26"/>
      </top>
      <bottom style="thin">
        <color rgb="FFBD4A26"/>
      </bottom>
      <diagonal/>
    </border>
    <border>
      <left/>
      <right style="dashed">
        <color rgb="FFBD4A26"/>
      </right>
      <top/>
      <bottom/>
      <diagonal/>
    </border>
    <border>
      <left/>
      <right style="dashed">
        <color rgb="FFBD4A26"/>
      </right>
      <top style="thin">
        <color rgb="FFBD4A26"/>
      </top>
      <bottom/>
      <diagonal/>
    </border>
    <border>
      <left style="thin">
        <color rgb="FFBD4A26"/>
      </left>
      <right/>
      <top/>
      <bottom style="dashed">
        <color rgb="FFBD4A26"/>
      </bottom>
      <diagonal/>
    </border>
    <border>
      <left/>
      <right/>
      <top/>
      <bottom style="dashed">
        <color rgb="FFBD4A26"/>
      </bottom>
      <diagonal/>
    </border>
    <border>
      <left/>
      <right style="dashed">
        <color rgb="FFBD4A26"/>
      </right>
      <top/>
      <bottom style="dashed">
        <color rgb="FFBD4A26"/>
      </bottom>
      <diagonal/>
    </border>
    <border>
      <left/>
      <right style="dashed">
        <color rgb="FFBD4A26"/>
      </right>
      <top/>
      <bottom style="thin">
        <color rgb="FFBD4A26"/>
      </bottom>
      <diagonal/>
    </border>
    <border>
      <left/>
      <right/>
      <top/>
      <bottom style="thin">
        <color rgb="FF94B7BC"/>
      </bottom>
      <diagonal/>
    </border>
    <border>
      <left/>
      <right style="thin">
        <color rgb="FFBD4A26"/>
      </right>
      <top/>
      <bottom style="thin">
        <color rgb="FF94B7BC"/>
      </bottom>
      <diagonal/>
    </border>
    <border>
      <left/>
      <right style="thin">
        <color indexed="64"/>
      </right>
      <top style="thin">
        <color rgb="FFBD4A26"/>
      </top>
      <bottom/>
      <diagonal/>
    </border>
    <border>
      <left/>
      <right style="thin">
        <color indexed="64"/>
      </right>
      <top/>
      <bottom style="thin">
        <color rgb="FFBD4A26"/>
      </bottom>
      <diagonal/>
    </border>
    <border>
      <left style="thin">
        <color rgb="FF94B7BC"/>
      </left>
      <right/>
      <top style="thin">
        <color rgb="FFBD4A26"/>
      </top>
      <bottom/>
      <diagonal/>
    </border>
    <border>
      <left style="thin">
        <color rgb="FF94B7BC"/>
      </left>
      <right/>
      <top style="thin">
        <color rgb="FF94B7BC"/>
      </top>
      <bottom style="dashed">
        <color rgb="FF94B7BC"/>
      </bottom>
      <diagonal/>
    </border>
    <border>
      <left/>
      <right style="thin">
        <color rgb="FF94B7BC"/>
      </right>
      <top style="thin">
        <color rgb="FF94B7BC"/>
      </top>
      <bottom style="dashed">
        <color rgb="FF94B7BC"/>
      </bottom>
      <diagonal/>
    </border>
    <border>
      <left style="thin">
        <color rgb="FFBD4A26"/>
      </left>
      <right/>
      <top style="thin">
        <color rgb="FFBD4A26"/>
      </top>
      <bottom style="dashed">
        <color rgb="FFBD4A26"/>
      </bottom>
      <diagonal/>
    </border>
    <border>
      <left/>
      <right style="thin">
        <color rgb="FFBD4A26"/>
      </right>
      <top style="thin">
        <color rgb="FFBD4A26"/>
      </top>
      <bottom style="dashed">
        <color rgb="FFBD4A26"/>
      </bottom>
      <diagonal/>
    </border>
    <border>
      <left style="thin">
        <color rgb="FF94B7BC"/>
      </left>
      <right/>
      <top style="dashed">
        <color rgb="FF94B7BC"/>
      </top>
      <bottom style="thin">
        <color rgb="FF94B7BC"/>
      </bottom>
      <diagonal/>
    </border>
    <border>
      <left/>
      <right style="thin">
        <color rgb="FF94B7BC"/>
      </right>
      <top style="dashed">
        <color rgb="FF94B7BC"/>
      </top>
      <bottom style="thin">
        <color rgb="FF94B7BC"/>
      </bottom>
      <diagonal/>
    </border>
    <border>
      <left style="thin">
        <color rgb="FF94B7BC"/>
      </left>
      <right/>
      <top/>
      <bottom style="thin">
        <color rgb="FFC00000"/>
      </bottom>
      <diagonal/>
    </border>
    <border>
      <left/>
      <right/>
      <top/>
      <bottom style="thin">
        <color rgb="FFC00000"/>
      </bottom>
      <diagonal/>
    </border>
    <border>
      <left/>
      <right style="thin">
        <color rgb="FFBD4A26"/>
      </right>
      <top/>
      <bottom style="thin">
        <color rgb="FFC00000"/>
      </bottom>
      <diagonal/>
    </border>
  </borders>
  <cellStyleXfs count="2">
    <xf numFmtId="0" fontId="0" fillId="0" borderId="0"/>
    <xf numFmtId="9" fontId="13" fillId="0" borderId="0" applyFont="0" applyFill="0" applyBorder="0" applyAlignment="0" applyProtection="0"/>
  </cellStyleXfs>
  <cellXfs count="487">
    <xf numFmtId="0" fontId="0" fillId="0" borderId="0" xfId="0"/>
    <xf numFmtId="0" fontId="14" fillId="2" borderId="0" xfId="0" applyFont="1" applyFill="1"/>
    <xf numFmtId="0" fontId="14" fillId="2" borderId="0" xfId="0" applyFont="1" applyFill="1" applyProtection="1">
      <protection hidden="1"/>
    </xf>
    <xf numFmtId="0" fontId="14" fillId="0" borderId="0" xfId="0" applyFont="1"/>
    <xf numFmtId="0" fontId="14" fillId="2" borderId="1" xfId="0" applyFont="1" applyFill="1" applyBorder="1"/>
    <xf numFmtId="0" fontId="14" fillId="2" borderId="0" xfId="0" applyFont="1" applyFill="1" applyAlignment="1">
      <alignment vertical="center"/>
    </xf>
    <xf numFmtId="0" fontId="1" fillId="0" borderId="0" xfId="0" applyFont="1" applyProtection="1">
      <protection hidden="1"/>
    </xf>
    <xf numFmtId="0" fontId="1" fillId="0" borderId="0" xfId="0" applyFont="1" applyAlignment="1" applyProtection="1">
      <alignment horizontal="centerContinuous" vertical="center"/>
      <protection hidden="1"/>
    </xf>
    <xf numFmtId="2" fontId="1" fillId="0" borderId="0" xfId="0" applyNumberFormat="1" applyFont="1" applyAlignment="1" applyProtection="1">
      <alignment horizontal="right" wrapText="1"/>
      <protection locked="0" hidden="1"/>
    </xf>
    <xf numFmtId="0" fontId="1" fillId="0" borderId="0" xfId="0" applyFont="1" applyAlignment="1" applyProtection="1">
      <alignment horizontal="center" wrapText="1"/>
      <protection hidden="1"/>
    </xf>
    <xf numFmtId="2" fontId="3" fillId="0" borderId="0" xfId="0" applyNumberFormat="1" applyFont="1" applyAlignment="1" applyProtection="1">
      <alignment horizontal="right"/>
      <protection locked="0" hidden="1"/>
    </xf>
    <xf numFmtId="0" fontId="4" fillId="0" borderId="0" xfId="0" applyFont="1" applyAlignment="1" applyProtection="1">
      <alignment horizontal="center"/>
      <protection hidden="1"/>
    </xf>
    <xf numFmtId="0" fontId="15" fillId="0" borderId="0" xfId="0" applyFont="1"/>
    <xf numFmtId="0" fontId="14" fillId="2" borderId="2" xfId="0" applyFont="1" applyFill="1" applyBorder="1"/>
    <xf numFmtId="0" fontId="14" fillId="2" borderId="3" xfId="0" applyFont="1" applyFill="1" applyBorder="1"/>
    <xf numFmtId="0" fontId="14" fillId="2" borderId="4" xfId="0" applyFont="1" applyFill="1" applyBorder="1"/>
    <xf numFmtId="0" fontId="14" fillId="2" borderId="5" xfId="0" applyFont="1" applyFill="1" applyBorder="1"/>
    <xf numFmtId="0" fontId="16" fillId="2" borderId="0" xfId="0" applyFont="1" applyFill="1"/>
    <xf numFmtId="0" fontId="16" fillId="2" borderId="0" xfId="0" applyFont="1" applyFill="1" applyAlignment="1">
      <alignment horizontal="center" vertical="center"/>
    </xf>
    <xf numFmtId="0" fontId="16" fillId="2" borderId="0" xfId="0" applyFont="1" applyFill="1" applyAlignment="1">
      <alignment horizontal="center"/>
    </xf>
    <xf numFmtId="0" fontId="16" fillId="2" borderId="6" xfId="0" applyFont="1" applyFill="1" applyBorder="1"/>
    <xf numFmtId="0" fontId="16" fillId="2" borderId="6" xfId="0" applyFont="1" applyFill="1" applyBorder="1" applyAlignment="1">
      <alignment horizontal="center"/>
    </xf>
    <xf numFmtId="0" fontId="17" fillId="2" borderId="0" xfId="0" applyFont="1" applyFill="1"/>
    <xf numFmtId="0" fontId="18" fillId="2" borderId="0" xfId="0" applyFont="1" applyFill="1"/>
    <xf numFmtId="0" fontId="18" fillId="2" borderId="0" xfId="0" applyFont="1" applyFill="1" applyAlignment="1">
      <alignment horizontal="center"/>
    </xf>
    <xf numFmtId="165" fontId="18" fillId="2" borderId="7" xfId="0" applyNumberFormat="1" applyFont="1" applyFill="1" applyBorder="1" applyAlignment="1">
      <alignment horizontal="center"/>
    </xf>
    <xf numFmtId="0" fontId="19" fillId="2" borderId="6" xfId="0" applyFont="1" applyFill="1" applyBorder="1"/>
    <xf numFmtId="0" fontId="20" fillId="3" borderId="8" xfId="0" applyFont="1" applyFill="1" applyBorder="1" applyAlignment="1">
      <alignment horizontal="center"/>
    </xf>
    <xf numFmtId="0" fontId="20" fillId="3" borderId="9"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11" xfId="0" applyFont="1" applyFill="1" applyBorder="1" applyAlignment="1">
      <alignment horizontal="center"/>
    </xf>
    <xf numFmtId="0" fontId="20" fillId="3" borderId="9" xfId="0" applyFont="1" applyFill="1" applyBorder="1" applyAlignment="1">
      <alignment horizontal="center"/>
    </xf>
    <xf numFmtId="0" fontId="20" fillId="3" borderId="12" xfId="0" applyFont="1" applyFill="1" applyBorder="1" applyAlignment="1">
      <alignment horizontal="center"/>
    </xf>
    <xf numFmtId="49" fontId="20" fillId="3" borderId="11" xfId="0" applyNumberFormat="1" applyFont="1" applyFill="1" applyBorder="1" applyAlignment="1">
      <alignment horizontal="center"/>
    </xf>
    <xf numFmtId="0" fontId="16" fillId="2" borderId="1" xfId="0" applyFont="1" applyFill="1" applyBorder="1"/>
    <xf numFmtId="0" fontId="16" fillId="2" borderId="13" xfId="0" applyFont="1" applyFill="1" applyBorder="1" applyAlignment="1">
      <alignment horizontal="center"/>
    </xf>
    <xf numFmtId="0" fontId="18" fillId="2" borderId="11" xfId="0" applyFont="1" applyFill="1" applyBorder="1" applyAlignment="1">
      <alignment horizontal="center"/>
    </xf>
    <xf numFmtId="20" fontId="16" fillId="2" borderId="0" xfId="0" applyNumberFormat="1" applyFont="1" applyFill="1"/>
    <xf numFmtId="20" fontId="20" fillId="3" borderId="9" xfId="0" applyNumberFormat="1" applyFont="1" applyFill="1" applyBorder="1" applyAlignment="1">
      <alignment horizontal="center" vertical="center"/>
    </xf>
    <xf numFmtId="20" fontId="20" fillId="3" borderId="14" xfId="0" applyNumberFormat="1" applyFont="1" applyFill="1" applyBorder="1" applyAlignment="1">
      <alignment horizontal="center" vertical="center"/>
    </xf>
    <xf numFmtId="166" fontId="18" fillId="2" borderId="15" xfId="0" applyNumberFormat="1" applyFont="1" applyFill="1" applyBorder="1" applyAlignment="1">
      <alignment horizontal="center"/>
    </xf>
    <xf numFmtId="166" fontId="18" fillId="2" borderId="16" xfId="0" applyNumberFormat="1" applyFont="1" applyFill="1" applyBorder="1" applyAlignment="1">
      <alignment horizontal="center"/>
    </xf>
    <xf numFmtId="166" fontId="18" fillId="2" borderId="1" xfId="0" applyNumberFormat="1" applyFont="1" applyFill="1" applyBorder="1" applyAlignment="1">
      <alignment horizontal="center" vertical="center"/>
    </xf>
    <xf numFmtId="166" fontId="6" fillId="2" borderId="0" xfId="0" applyNumberFormat="1" applyFont="1" applyFill="1" applyAlignment="1">
      <alignment horizontal="center" vertical="center"/>
    </xf>
    <xf numFmtId="166" fontId="18" fillId="2" borderId="9" xfId="0" applyNumberFormat="1" applyFont="1" applyFill="1" applyBorder="1" applyAlignment="1">
      <alignment horizontal="center"/>
    </xf>
    <xf numFmtId="166" fontId="19" fillId="2" borderId="0" xfId="0" applyNumberFormat="1" applyFont="1" applyFill="1" applyAlignment="1">
      <alignment horizontal="center"/>
    </xf>
    <xf numFmtId="166" fontId="18" fillId="2" borderId="10" xfId="0" applyNumberFormat="1" applyFont="1" applyFill="1" applyBorder="1" applyAlignment="1">
      <alignment horizontal="center"/>
    </xf>
    <xf numFmtId="166" fontId="18" fillId="2" borderId="17" xfId="0" applyNumberFormat="1" applyFont="1" applyFill="1" applyBorder="1" applyAlignment="1">
      <alignment horizontal="center" vertical="center"/>
    </xf>
    <xf numFmtId="166" fontId="18" fillId="2" borderId="4" xfId="0" applyNumberFormat="1" applyFont="1" applyFill="1" applyBorder="1" applyAlignment="1">
      <alignment horizontal="center" vertical="center"/>
    </xf>
    <xf numFmtId="166" fontId="18" fillId="2" borderId="5" xfId="0" applyNumberFormat="1" applyFont="1" applyFill="1" applyBorder="1" applyAlignment="1">
      <alignment horizontal="center" vertical="center"/>
    </xf>
    <xf numFmtId="166" fontId="18" fillId="2" borderId="18" xfId="0" applyNumberFormat="1" applyFont="1" applyFill="1" applyBorder="1" applyAlignment="1">
      <alignment horizontal="center" vertical="center"/>
    </xf>
    <xf numFmtId="0" fontId="18" fillId="2" borderId="1" xfId="0" applyFont="1" applyFill="1" applyBorder="1" applyAlignment="1" applyProtection="1">
      <alignment horizontal="center"/>
      <protection locked="0"/>
    </xf>
    <xf numFmtId="166" fontId="18" fillId="2" borderId="15" xfId="0" applyNumberFormat="1" applyFont="1" applyFill="1" applyBorder="1" applyAlignment="1" applyProtection="1">
      <alignment horizontal="center"/>
      <protection locked="0"/>
    </xf>
    <xf numFmtId="166" fontId="18" fillId="2" borderId="1" xfId="0" applyNumberFormat="1" applyFont="1" applyFill="1" applyBorder="1" applyAlignment="1" applyProtection="1">
      <alignment horizontal="center"/>
      <protection locked="0"/>
    </xf>
    <xf numFmtId="166" fontId="18" fillId="2" borderId="15" xfId="0" applyNumberFormat="1" applyFont="1" applyFill="1" applyBorder="1" applyProtection="1">
      <protection locked="0"/>
    </xf>
    <xf numFmtId="166" fontId="18" fillId="2" borderId="1" xfId="0" applyNumberFormat="1" applyFont="1" applyFill="1" applyBorder="1" applyProtection="1">
      <protection locked="0"/>
    </xf>
    <xf numFmtId="0" fontId="18" fillId="2" borderId="11" xfId="0" applyFont="1" applyFill="1" applyBorder="1" applyAlignment="1" applyProtection="1">
      <alignment horizontal="center"/>
      <protection locked="0"/>
    </xf>
    <xf numFmtId="166" fontId="18" fillId="2" borderId="9" xfId="0" applyNumberFormat="1" applyFont="1" applyFill="1" applyBorder="1" applyProtection="1">
      <protection locked="0"/>
    </xf>
    <xf numFmtId="166" fontId="18" fillId="2" borderId="14" xfId="0" applyNumberFormat="1" applyFont="1" applyFill="1" applyBorder="1" applyProtection="1">
      <protection locked="0"/>
    </xf>
    <xf numFmtId="0" fontId="18" fillId="2" borderId="4" xfId="0" applyFont="1" applyFill="1" applyBorder="1" applyAlignment="1">
      <alignment horizontal="center"/>
    </xf>
    <xf numFmtId="165" fontId="18" fillId="2" borderId="8" xfId="0" applyNumberFormat="1" applyFont="1" applyFill="1" applyBorder="1" applyAlignment="1">
      <alignment horizontal="center"/>
    </xf>
    <xf numFmtId="0" fontId="18" fillId="2" borderId="3" xfId="0" applyFont="1" applyFill="1" applyBorder="1" applyAlignment="1" applyProtection="1">
      <alignment horizontal="center"/>
      <protection locked="0"/>
    </xf>
    <xf numFmtId="0" fontId="18" fillId="2" borderId="8" xfId="0" applyFont="1" applyFill="1" applyBorder="1" applyAlignment="1" applyProtection="1">
      <alignment horizontal="center"/>
      <protection locked="0"/>
    </xf>
    <xf numFmtId="166" fontId="18" fillId="2" borderId="19" xfId="0" applyNumberFormat="1" applyFont="1" applyFill="1" applyBorder="1" applyAlignment="1" applyProtection="1">
      <alignment horizontal="center"/>
      <protection locked="0"/>
    </xf>
    <xf numFmtId="166" fontId="18" fillId="2" borderId="3" xfId="0" applyNumberFormat="1" applyFont="1" applyFill="1" applyBorder="1" applyAlignment="1" applyProtection="1">
      <alignment horizontal="center"/>
      <protection locked="0"/>
    </xf>
    <xf numFmtId="166" fontId="18" fillId="2" borderId="20" xfId="0" applyNumberFormat="1" applyFont="1" applyFill="1" applyBorder="1" applyAlignment="1">
      <alignment horizontal="center"/>
    </xf>
    <xf numFmtId="166" fontId="18" fillId="2" borderId="3" xfId="0" applyNumberFormat="1" applyFont="1" applyFill="1" applyBorder="1" applyAlignment="1">
      <alignment horizontal="center" vertical="center"/>
    </xf>
    <xf numFmtId="166" fontId="18" fillId="2" borderId="3" xfId="0" applyNumberFormat="1" applyFont="1" applyFill="1" applyBorder="1" applyAlignment="1">
      <alignment horizontal="center"/>
    </xf>
    <xf numFmtId="164" fontId="21" fillId="2" borderId="0" xfId="0" applyNumberFormat="1" applyFont="1" applyFill="1" applyAlignment="1">
      <alignment vertical="center"/>
    </xf>
    <xf numFmtId="0" fontId="22" fillId="2" borderId="0" xfId="0" applyFont="1" applyFill="1" applyAlignment="1">
      <alignment horizontal="center" vertical="center"/>
    </xf>
    <xf numFmtId="0" fontId="2" fillId="2" borderId="0" xfId="0" applyFont="1" applyFill="1" applyAlignment="1">
      <alignment vertical="center"/>
    </xf>
    <xf numFmtId="0" fontId="23" fillId="2" borderId="0" xfId="0" applyFont="1" applyFill="1"/>
    <xf numFmtId="0" fontId="24" fillId="2" borderId="0" xfId="0" applyFont="1" applyFill="1"/>
    <xf numFmtId="166" fontId="14" fillId="4" borderId="28" xfId="0" applyNumberFormat="1" applyFont="1" applyFill="1" applyBorder="1" applyAlignment="1">
      <alignment horizontal="center" vertical="center"/>
    </xf>
    <xf numFmtId="166" fontId="14" fillId="4" borderId="29" xfId="0" applyNumberFormat="1" applyFont="1" applyFill="1" applyBorder="1" applyAlignment="1">
      <alignment horizontal="center" vertical="center"/>
    </xf>
    <xf numFmtId="166" fontId="14" fillId="4" borderId="30" xfId="0" applyNumberFormat="1" applyFont="1" applyFill="1" applyBorder="1" applyAlignment="1">
      <alignment horizontal="center" vertical="center"/>
    </xf>
    <xf numFmtId="0" fontId="14" fillId="0" borderId="4" xfId="0" applyFont="1" applyBorder="1"/>
    <xf numFmtId="0" fontId="14" fillId="0" borderId="5" xfId="0" applyFont="1" applyBorder="1"/>
    <xf numFmtId="166" fontId="14" fillId="0" borderId="1" xfId="0" applyNumberFormat="1" applyFont="1" applyBorder="1"/>
    <xf numFmtId="0" fontId="14" fillId="0" borderId="18" xfId="0" applyFont="1" applyBorder="1"/>
    <xf numFmtId="166" fontId="14" fillId="0" borderId="14" xfId="0" applyNumberFormat="1" applyFont="1" applyBorder="1"/>
    <xf numFmtId="0" fontId="15" fillId="0" borderId="4" xfId="0" applyFont="1" applyBorder="1"/>
    <xf numFmtId="0" fontId="14" fillId="0" borderId="2" xfId="0" applyFont="1" applyBorder="1"/>
    <xf numFmtId="0" fontId="14" fillId="0" borderId="3" xfId="0" applyFont="1" applyBorder="1"/>
    <xf numFmtId="0" fontId="1" fillId="0" borderId="1" xfId="0" applyFont="1" applyBorder="1" applyProtection="1">
      <protection hidden="1"/>
    </xf>
    <xf numFmtId="2" fontId="1" fillId="0" borderId="0" xfId="0" applyNumberFormat="1" applyFont="1" applyProtection="1">
      <protection locked="0" hidden="1"/>
    </xf>
    <xf numFmtId="2" fontId="1" fillId="0" borderId="0" xfId="0" applyNumberFormat="1" applyFont="1" applyAlignment="1" applyProtection="1">
      <alignment horizontal="right"/>
      <protection locked="0" hidden="1"/>
    </xf>
    <xf numFmtId="0" fontId="1" fillId="0" borderId="1" xfId="0" applyFont="1" applyBorder="1" applyAlignment="1" applyProtection="1">
      <alignment wrapText="1"/>
      <protection hidden="1"/>
    </xf>
    <xf numFmtId="0" fontId="5" fillId="0" borderId="1" xfId="0" applyFont="1" applyBorder="1" applyAlignment="1" applyProtection="1">
      <alignment horizontal="center"/>
      <protection hidden="1"/>
    </xf>
    <xf numFmtId="0" fontId="1" fillId="0" borderId="13" xfId="0" applyFont="1" applyBorder="1" applyProtection="1">
      <protection hidden="1"/>
    </xf>
    <xf numFmtId="2" fontId="3" fillId="0" borderId="13" xfId="0" applyNumberFormat="1" applyFont="1" applyBorder="1" applyAlignment="1" applyProtection="1">
      <alignment horizontal="right"/>
      <protection locked="0" hidden="1"/>
    </xf>
    <xf numFmtId="0" fontId="4" fillId="0" borderId="13" xfId="0" applyFont="1" applyBorder="1" applyAlignment="1" applyProtection="1">
      <alignment horizontal="center"/>
      <protection hidden="1"/>
    </xf>
    <xf numFmtId="0" fontId="5" fillId="0" borderId="14" xfId="0" applyFont="1" applyBorder="1" applyAlignment="1" applyProtection="1">
      <alignment horizontal="center"/>
      <protection hidden="1"/>
    </xf>
    <xf numFmtId="166" fontId="18" fillId="2" borderId="8" xfId="0" applyNumberFormat="1" applyFont="1" applyFill="1" applyBorder="1" applyAlignment="1">
      <alignment horizontal="center"/>
    </xf>
    <xf numFmtId="20" fontId="6" fillId="2" borderId="0" xfId="0" applyNumberFormat="1" applyFont="1" applyFill="1" applyAlignment="1">
      <alignment vertical="center" wrapText="1"/>
    </xf>
    <xf numFmtId="166" fontId="6" fillId="2" borderId="0" xfId="0" applyNumberFormat="1" applyFont="1" applyFill="1" applyAlignment="1">
      <alignment horizontal="center" vertical="center" wrapText="1"/>
    </xf>
    <xf numFmtId="20" fontId="6" fillId="2" borderId="0" xfId="0" applyNumberFormat="1" applyFont="1" applyFill="1" applyAlignment="1">
      <alignment horizontal="center" vertical="center" wrapText="1"/>
    </xf>
    <xf numFmtId="166" fontId="18" fillId="2" borderId="7" xfId="0" applyNumberFormat="1" applyFont="1" applyFill="1" applyBorder="1" applyAlignment="1">
      <alignment horizontal="center"/>
    </xf>
    <xf numFmtId="166" fontId="18" fillId="2" borderId="11" xfId="0" applyNumberFormat="1" applyFont="1" applyFill="1" applyBorder="1" applyAlignment="1">
      <alignment horizontal="center"/>
    </xf>
    <xf numFmtId="166" fontId="7" fillId="2" borderId="0" xfId="0" applyNumberFormat="1" applyFont="1" applyFill="1" applyAlignment="1">
      <alignment horizontal="center" vertical="center" wrapText="1"/>
    </xf>
    <xf numFmtId="20" fontId="7" fillId="2" borderId="0" xfId="0" applyNumberFormat="1" applyFont="1" applyFill="1" applyAlignment="1">
      <alignment horizontal="center" vertical="center" wrapText="1"/>
    </xf>
    <xf numFmtId="166" fontId="7" fillId="2" borderId="0" xfId="0" applyNumberFormat="1" applyFont="1" applyFill="1" applyAlignment="1">
      <alignment horizontal="center" vertical="center"/>
    </xf>
    <xf numFmtId="166" fontId="7" fillId="2" borderId="5" xfId="0" applyNumberFormat="1" applyFont="1" applyFill="1" applyBorder="1" applyAlignment="1">
      <alignment horizontal="center" vertical="center" wrapText="1"/>
    </xf>
    <xf numFmtId="166" fontId="6" fillId="2" borderId="1" xfId="0" applyNumberFormat="1" applyFont="1" applyFill="1" applyBorder="1" applyAlignment="1">
      <alignment horizontal="center" vertical="center" wrapText="1"/>
    </xf>
    <xf numFmtId="20" fontId="6" fillId="2" borderId="1" xfId="0" applyNumberFormat="1" applyFont="1" applyFill="1" applyBorder="1" applyAlignment="1">
      <alignment horizontal="center" vertical="center" wrapText="1"/>
    </xf>
    <xf numFmtId="20" fontId="6" fillId="2" borderId="5" xfId="0" applyNumberFormat="1" applyFont="1" applyFill="1" applyBorder="1" applyAlignment="1">
      <alignment vertical="center" wrapText="1"/>
    </xf>
    <xf numFmtId="20" fontId="6" fillId="2" borderId="5" xfId="0" applyNumberFormat="1" applyFont="1" applyFill="1" applyBorder="1" applyAlignment="1">
      <alignment horizontal="center" vertical="center" wrapText="1"/>
    </xf>
    <xf numFmtId="1" fontId="6" fillId="2" borderId="0" xfId="0" applyNumberFormat="1" applyFont="1" applyFill="1" applyAlignment="1">
      <alignment horizontal="center" vertical="center"/>
    </xf>
    <xf numFmtId="166" fontId="14" fillId="4" borderId="29" xfId="0" applyNumberFormat="1" applyFont="1" applyFill="1" applyBorder="1" applyAlignment="1" applyProtection="1">
      <alignment horizontal="center"/>
      <protection locked="0"/>
    </xf>
    <xf numFmtId="166" fontId="14" fillId="4" borderId="29" xfId="0" applyNumberFormat="1" applyFont="1" applyFill="1" applyBorder="1" applyAlignment="1" applyProtection="1">
      <alignment horizontal="center" vertical="center"/>
      <protection locked="0"/>
    </xf>
    <xf numFmtId="166" fontId="21" fillId="4" borderId="29" xfId="0" applyNumberFormat="1" applyFont="1" applyFill="1" applyBorder="1" applyAlignment="1" applyProtection="1">
      <alignment horizontal="center" vertical="center"/>
      <protection locked="0"/>
    </xf>
    <xf numFmtId="166" fontId="14" fillId="4" borderId="31" xfId="0" applyNumberFormat="1" applyFont="1" applyFill="1" applyBorder="1" applyAlignment="1" applyProtection="1">
      <alignment horizontal="center"/>
      <protection locked="0"/>
    </xf>
    <xf numFmtId="20" fontId="6" fillId="2" borderId="1" xfId="0" applyNumberFormat="1" applyFont="1" applyFill="1" applyBorder="1" applyAlignment="1">
      <alignment vertical="center" wrapText="1"/>
    </xf>
    <xf numFmtId="20" fontId="17" fillId="2" borderId="5" xfId="0" applyNumberFormat="1" applyFont="1" applyFill="1" applyBorder="1" applyAlignment="1">
      <alignment horizontal="center" vertical="center"/>
    </xf>
    <xf numFmtId="20" fontId="17" fillId="2" borderId="0" xfId="0" applyNumberFormat="1" applyFont="1" applyFill="1" applyAlignment="1">
      <alignment horizontal="center" vertical="center"/>
    </xf>
    <xf numFmtId="20" fontId="17" fillId="2" borderId="1" xfId="0" applyNumberFormat="1" applyFont="1" applyFill="1" applyBorder="1" applyAlignment="1">
      <alignment horizontal="center" vertical="center"/>
    </xf>
    <xf numFmtId="0" fontId="18" fillId="2" borderId="7" xfId="0" applyFont="1" applyFill="1" applyBorder="1" applyAlignment="1" applyProtection="1">
      <alignment horizontal="center"/>
      <protection locked="0"/>
    </xf>
    <xf numFmtId="1" fontId="8" fillId="2" borderId="0" xfId="0" applyNumberFormat="1" applyFont="1" applyFill="1" applyAlignment="1">
      <alignment horizontal="center" vertical="center"/>
    </xf>
    <xf numFmtId="166" fontId="6" fillId="2" borderId="1" xfId="0" applyNumberFormat="1" applyFont="1" applyFill="1" applyBorder="1" applyAlignment="1">
      <alignment horizontal="center" vertical="center"/>
    </xf>
    <xf numFmtId="166" fontId="7" fillId="2" borderId="5" xfId="0" applyNumberFormat="1" applyFont="1" applyFill="1" applyBorder="1" applyAlignment="1">
      <alignment horizontal="center" vertical="center"/>
    </xf>
    <xf numFmtId="20" fontId="7" fillId="2" borderId="5" xfId="0" applyNumberFormat="1" applyFont="1" applyFill="1" applyBorder="1" applyAlignment="1">
      <alignment horizontal="center" vertical="center" wrapText="1"/>
    </xf>
    <xf numFmtId="0" fontId="25" fillId="2" borderId="1" xfId="0" applyFont="1" applyFill="1" applyBorder="1" applyAlignment="1">
      <alignment horizontal="center" vertical="center"/>
    </xf>
    <xf numFmtId="1" fontId="6" fillId="2" borderId="5" xfId="0" applyNumberFormat="1" applyFont="1" applyFill="1" applyBorder="1" applyAlignment="1">
      <alignment horizontal="center" vertical="center"/>
    </xf>
    <xf numFmtId="1" fontId="6" fillId="2" borderId="1" xfId="0" applyNumberFormat="1" applyFont="1" applyFill="1" applyBorder="1" applyAlignment="1">
      <alignment horizontal="center" vertical="center"/>
    </xf>
    <xf numFmtId="1" fontId="6" fillId="2" borderId="7" xfId="0" applyNumberFormat="1" applyFont="1" applyFill="1" applyBorder="1" applyAlignment="1">
      <alignment horizontal="center" vertical="center"/>
    </xf>
    <xf numFmtId="0" fontId="10" fillId="0" borderId="0" xfId="0" applyFont="1" applyProtection="1">
      <protection hidden="1"/>
    </xf>
    <xf numFmtId="0" fontId="10" fillId="0" borderId="13" xfId="0" applyFont="1" applyBorder="1" applyProtection="1">
      <protection hidden="1"/>
    </xf>
    <xf numFmtId="0" fontId="18" fillId="2" borderId="3" xfId="0" applyFont="1" applyFill="1" applyBorder="1"/>
    <xf numFmtId="164" fontId="6" fillId="2" borderId="0" xfId="0" applyNumberFormat="1" applyFont="1" applyFill="1" applyAlignment="1">
      <alignment horizontal="center" vertical="center"/>
    </xf>
    <xf numFmtId="0" fontId="6" fillId="2" borderId="0" xfId="0" applyFont="1" applyFill="1" applyAlignment="1">
      <alignment horizontal="center" vertical="center"/>
    </xf>
    <xf numFmtId="2" fontId="25" fillId="2" borderId="3" xfId="0" applyNumberFormat="1" applyFont="1" applyFill="1" applyBorder="1" applyAlignment="1">
      <alignment horizontal="center" vertical="center"/>
    </xf>
    <xf numFmtId="0" fontId="25" fillId="2" borderId="14" xfId="0" applyFont="1" applyFill="1" applyBorder="1" applyAlignment="1">
      <alignment horizontal="center" vertical="center"/>
    </xf>
    <xf numFmtId="2" fontId="25" fillId="2" borderId="14" xfId="0" applyNumberFormat="1" applyFont="1" applyFill="1" applyBorder="1" applyAlignment="1">
      <alignment horizontal="center" vertical="center"/>
    </xf>
    <xf numFmtId="0" fontId="25" fillId="2" borderId="3" xfId="0" applyFont="1" applyFill="1" applyBorder="1" applyAlignment="1">
      <alignment horizontal="center" vertical="center"/>
    </xf>
    <xf numFmtId="10" fontId="25" fillId="2" borderId="3" xfId="0" applyNumberFormat="1" applyFont="1" applyFill="1" applyBorder="1" applyAlignment="1">
      <alignment horizontal="center" vertical="center"/>
    </xf>
    <xf numFmtId="10" fontId="25" fillId="2" borderId="14" xfId="0" applyNumberFormat="1" applyFont="1" applyFill="1" applyBorder="1" applyAlignment="1">
      <alignment horizontal="center" vertical="center"/>
    </xf>
    <xf numFmtId="2" fontId="25" fillId="2" borderId="1" xfId="0" applyNumberFormat="1" applyFont="1" applyFill="1" applyBorder="1" applyAlignment="1">
      <alignment horizontal="center" vertical="center"/>
    </xf>
    <xf numFmtId="0" fontId="20" fillId="3" borderId="8"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14" xfId="0" applyFont="1" applyFill="1" applyBorder="1" applyAlignment="1">
      <alignment horizontal="center" vertical="center"/>
    </xf>
    <xf numFmtId="0" fontId="20" fillId="3" borderId="14" xfId="0" applyFont="1" applyFill="1" applyBorder="1" applyAlignment="1">
      <alignment horizontal="center"/>
    </xf>
    <xf numFmtId="0" fontId="25" fillId="2" borderId="0" xfId="0" applyFont="1" applyFill="1" applyAlignment="1">
      <alignment horizontal="center" vertical="center"/>
    </xf>
    <xf numFmtId="166" fontId="18" fillId="2" borderId="14" xfId="0" applyNumberFormat="1" applyFont="1" applyFill="1" applyBorder="1" applyAlignment="1">
      <alignment horizontal="center"/>
    </xf>
    <xf numFmtId="166" fontId="18" fillId="2" borderId="1" xfId="0" applyNumberFormat="1" applyFont="1" applyFill="1" applyBorder="1" applyAlignment="1">
      <alignment horizontal="center"/>
    </xf>
    <xf numFmtId="166" fontId="14" fillId="2" borderId="1" xfId="0" applyNumberFormat="1" applyFont="1" applyFill="1" applyBorder="1"/>
    <xf numFmtId="0" fontId="14" fillId="2" borderId="18" xfId="0" applyFont="1" applyFill="1" applyBorder="1"/>
    <xf numFmtId="166" fontId="14" fillId="2" borderId="14" xfId="0" applyNumberFormat="1" applyFont="1" applyFill="1" applyBorder="1"/>
    <xf numFmtId="0" fontId="25" fillId="2" borderId="5" xfId="0" applyFont="1" applyFill="1" applyBorder="1" applyAlignment="1">
      <alignment horizontal="right" vertical="center"/>
    </xf>
    <xf numFmtId="0" fontId="25" fillId="2" borderId="0" xfId="0" applyFont="1" applyFill="1" applyAlignment="1">
      <alignment horizontal="right" vertical="center"/>
    </xf>
    <xf numFmtId="166" fontId="18" fillId="2" borderId="9" xfId="0" applyNumberFormat="1" applyFont="1" applyFill="1" applyBorder="1" applyAlignment="1" applyProtection="1">
      <alignment horizontal="center"/>
      <protection locked="0"/>
    </xf>
    <xf numFmtId="166" fontId="18" fillId="2" borderId="14" xfId="0" applyNumberFormat="1" applyFont="1" applyFill="1" applyBorder="1" applyAlignment="1" applyProtection="1">
      <alignment horizontal="center"/>
      <protection locked="0"/>
    </xf>
    <xf numFmtId="0" fontId="17" fillId="4" borderId="0" xfId="0" applyFont="1" applyFill="1" applyAlignment="1">
      <alignment horizontal="left"/>
    </xf>
    <xf numFmtId="0" fontId="17" fillId="4" borderId="29" xfId="0" applyFont="1" applyFill="1" applyBorder="1" applyAlignment="1">
      <alignment horizontal="left"/>
    </xf>
    <xf numFmtId="10" fontId="25" fillId="2" borderId="0" xfId="0" applyNumberFormat="1" applyFont="1" applyFill="1" applyAlignment="1">
      <alignment horizontal="center" vertical="center"/>
    </xf>
    <xf numFmtId="0" fontId="18" fillId="2" borderId="0" xfId="0" applyFont="1" applyFill="1" applyProtection="1">
      <protection locked="0"/>
    </xf>
    <xf numFmtId="0" fontId="11" fillId="0" borderId="21"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10" fillId="0" borderId="11" xfId="0" applyFont="1" applyBorder="1" applyProtection="1">
      <protection hidden="1"/>
    </xf>
    <xf numFmtId="0" fontId="10" fillId="0" borderId="21" xfId="0" applyFont="1" applyBorder="1" applyProtection="1">
      <protection hidden="1"/>
    </xf>
    <xf numFmtId="2" fontId="10" fillId="4" borderId="11" xfId="0" applyNumberFormat="1" applyFont="1" applyFill="1" applyBorder="1" applyProtection="1">
      <protection hidden="1"/>
    </xf>
    <xf numFmtId="2" fontId="10" fillId="4" borderId="21" xfId="0" applyNumberFormat="1" applyFont="1" applyFill="1" applyBorder="1" applyProtection="1">
      <protection hidden="1"/>
    </xf>
    <xf numFmtId="0" fontId="11" fillId="2" borderId="7" xfId="0" applyFont="1" applyFill="1" applyBorder="1" applyAlignment="1" applyProtection="1">
      <alignment horizontal="centerContinuous"/>
      <protection hidden="1"/>
    </xf>
    <xf numFmtId="0" fontId="11" fillId="2" borderId="7" xfId="0" applyFont="1" applyFill="1" applyBorder="1" applyAlignment="1" applyProtection="1">
      <alignment horizontal="center"/>
      <protection hidden="1"/>
    </xf>
    <xf numFmtId="2" fontId="10" fillId="2" borderId="7" xfId="0" applyNumberFormat="1" applyFont="1" applyFill="1" applyBorder="1" applyProtection="1">
      <protection hidden="1"/>
    </xf>
    <xf numFmtId="1" fontId="18" fillId="2" borderId="19" xfId="0" applyNumberFormat="1" applyFont="1" applyFill="1" applyBorder="1" applyAlignment="1" applyProtection="1">
      <alignment horizontal="center"/>
      <protection locked="0"/>
    </xf>
    <xf numFmtId="1" fontId="18" fillId="2" borderId="20" xfId="0" applyNumberFormat="1" applyFont="1" applyFill="1" applyBorder="1" applyAlignment="1" applyProtection="1">
      <alignment horizontal="center"/>
      <protection locked="0"/>
    </xf>
    <xf numFmtId="1" fontId="18" fillId="2" borderId="23" xfId="0" applyNumberFormat="1" applyFont="1" applyFill="1" applyBorder="1" applyAlignment="1" applyProtection="1">
      <alignment horizontal="center"/>
      <protection locked="0"/>
    </xf>
    <xf numFmtId="1" fontId="18" fillId="2" borderId="15" xfId="0" applyNumberFormat="1" applyFont="1" applyFill="1" applyBorder="1" applyAlignment="1" applyProtection="1">
      <alignment horizontal="center"/>
      <protection locked="0"/>
    </xf>
    <xf numFmtId="1" fontId="18" fillId="2" borderId="16" xfId="0" applyNumberFormat="1" applyFont="1" applyFill="1" applyBorder="1" applyAlignment="1" applyProtection="1">
      <alignment horizontal="center"/>
      <protection locked="0"/>
    </xf>
    <xf numFmtId="1" fontId="18" fillId="2" borderId="24" xfId="0" applyNumberFormat="1" applyFont="1" applyFill="1" applyBorder="1" applyAlignment="1" applyProtection="1">
      <alignment horizontal="center"/>
      <protection locked="0"/>
    </xf>
    <xf numFmtId="1" fontId="18" fillId="2" borderId="9" xfId="0" applyNumberFormat="1" applyFont="1" applyFill="1" applyBorder="1" applyAlignment="1" applyProtection="1">
      <alignment horizontal="center"/>
      <protection locked="0"/>
    </xf>
    <xf numFmtId="1" fontId="18" fillId="2" borderId="10" xfId="0" applyNumberFormat="1" applyFont="1" applyFill="1" applyBorder="1" applyAlignment="1" applyProtection="1">
      <alignment horizontal="center"/>
      <protection locked="0"/>
    </xf>
    <xf numFmtId="1" fontId="18" fillId="2" borderId="17" xfId="0" applyNumberFormat="1" applyFont="1" applyFill="1" applyBorder="1" applyAlignment="1" applyProtection="1">
      <alignment horizontal="center"/>
      <protection locked="0"/>
    </xf>
    <xf numFmtId="0" fontId="21" fillId="2" borderId="0" xfId="0" applyFont="1" applyFill="1" applyAlignment="1">
      <alignment vertical="top" wrapText="1"/>
    </xf>
    <xf numFmtId="0" fontId="14" fillId="2" borderId="0" xfId="0" applyFont="1" applyFill="1" applyAlignment="1">
      <alignment vertical="top" wrapText="1"/>
    </xf>
    <xf numFmtId="16" fontId="14" fillId="2" borderId="0" xfId="0" applyNumberFormat="1" applyFont="1" applyFill="1" applyAlignment="1">
      <alignment horizontal="center"/>
    </xf>
    <xf numFmtId="0" fontId="14" fillId="2" borderId="0" xfId="0" applyFont="1" applyFill="1" applyAlignment="1">
      <alignment wrapText="1"/>
    </xf>
    <xf numFmtId="0" fontId="14" fillId="4" borderId="5" xfId="0" applyFont="1" applyFill="1" applyBorder="1" applyProtection="1">
      <protection hidden="1"/>
    </xf>
    <xf numFmtId="0" fontId="14" fillId="4" borderId="0" xfId="0" applyFont="1" applyFill="1" applyProtection="1">
      <protection hidden="1"/>
    </xf>
    <xf numFmtId="0" fontId="14" fillId="4" borderId="1" xfId="0" applyFont="1" applyFill="1" applyBorder="1" applyProtection="1">
      <protection hidden="1"/>
    </xf>
    <xf numFmtId="0" fontId="1" fillId="4" borderId="5" xfId="0" applyFont="1" applyFill="1" applyBorder="1" applyProtection="1">
      <protection hidden="1"/>
    </xf>
    <xf numFmtId="0" fontId="1" fillId="4" borderId="0" xfId="0" applyFont="1" applyFill="1" applyProtection="1">
      <protection hidden="1"/>
    </xf>
    <xf numFmtId="0" fontId="1" fillId="4" borderId="1" xfId="0" applyFont="1" applyFill="1" applyBorder="1" applyProtection="1">
      <protection hidden="1"/>
    </xf>
    <xf numFmtId="4" fontId="1" fillId="4" borderId="0" xfId="0" applyNumberFormat="1" applyFont="1" applyFill="1" applyProtection="1">
      <protection hidden="1"/>
    </xf>
    <xf numFmtId="4" fontId="1" fillId="4" borderId="1" xfId="0" applyNumberFormat="1" applyFont="1" applyFill="1" applyBorder="1" applyProtection="1">
      <protection hidden="1"/>
    </xf>
    <xf numFmtId="0" fontId="1" fillId="4" borderId="18" xfId="0" applyFont="1" applyFill="1" applyBorder="1" applyProtection="1">
      <protection hidden="1"/>
    </xf>
    <xf numFmtId="0" fontId="1" fillId="4" borderId="13" xfId="0" applyFont="1" applyFill="1" applyBorder="1" applyProtection="1">
      <protection hidden="1"/>
    </xf>
    <xf numFmtId="0" fontId="1" fillId="4" borderId="14" xfId="0" applyFont="1" applyFill="1" applyBorder="1" applyProtection="1">
      <protection hidden="1"/>
    </xf>
    <xf numFmtId="0" fontId="1" fillId="4" borderId="13" xfId="0" applyFont="1" applyFill="1" applyBorder="1" applyAlignment="1" applyProtection="1">
      <alignment horizontal="center"/>
      <protection hidden="1"/>
    </xf>
    <xf numFmtId="0" fontId="14" fillId="4" borderId="18" xfId="0" applyFont="1" applyFill="1" applyBorder="1" applyProtection="1">
      <protection hidden="1"/>
    </xf>
    <xf numFmtId="0" fontId="14" fillId="4" borderId="13" xfId="0" applyFont="1" applyFill="1" applyBorder="1" applyProtection="1">
      <protection hidden="1"/>
    </xf>
    <xf numFmtId="0" fontId="14" fillId="4" borderId="14" xfId="0" applyFont="1" applyFill="1" applyBorder="1" applyProtection="1">
      <protection hidden="1"/>
    </xf>
    <xf numFmtId="9" fontId="26" fillId="3" borderId="22" xfId="0" applyNumberFormat="1" applyFont="1" applyFill="1" applyBorder="1" applyAlignment="1" applyProtection="1">
      <alignment horizontal="center"/>
      <protection hidden="1"/>
    </xf>
    <xf numFmtId="0" fontId="26" fillId="3" borderId="22" xfId="0" applyFont="1" applyFill="1" applyBorder="1" applyAlignment="1" applyProtection="1">
      <alignment horizontal="center"/>
      <protection hidden="1"/>
    </xf>
    <xf numFmtId="0" fontId="26" fillId="3" borderId="21" xfId="0" applyFont="1" applyFill="1" applyBorder="1" applyAlignment="1" applyProtection="1">
      <alignment horizontal="centerContinuous"/>
      <protection hidden="1"/>
    </xf>
    <xf numFmtId="0" fontId="14" fillId="0" borderId="0" xfId="0" applyFont="1" applyAlignment="1">
      <alignment horizontal="right"/>
    </xf>
    <xf numFmtId="0" fontId="18" fillId="2" borderId="18" xfId="0" applyFont="1" applyFill="1" applyBorder="1" applyAlignment="1">
      <alignment horizontal="center"/>
    </xf>
    <xf numFmtId="0" fontId="18" fillId="2" borderId="14" xfId="0" applyFont="1" applyFill="1" applyBorder="1" applyAlignment="1" applyProtection="1">
      <alignment horizontal="center"/>
      <protection locked="0"/>
    </xf>
    <xf numFmtId="166" fontId="18" fillId="2" borderId="14" xfId="0" applyNumberFormat="1" applyFont="1" applyFill="1" applyBorder="1" applyAlignment="1">
      <alignment horizontal="center" vertical="center"/>
    </xf>
    <xf numFmtId="0" fontId="27" fillId="0" borderId="21" xfId="0" applyFont="1" applyBorder="1" applyAlignment="1">
      <alignment horizontal="center" vertical="center" wrapText="1"/>
    </xf>
    <xf numFmtId="166" fontId="14" fillId="0" borderId="21" xfId="0" applyNumberFormat="1" applyFont="1" applyBorder="1" applyAlignment="1">
      <alignment horizontal="center" vertical="center" wrapText="1"/>
    </xf>
    <xf numFmtId="166" fontId="14" fillId="0" borderId="21" xfId="0" applyNumberFormat="1" applyFont="1" applyBorder="1" applyAlignment="1">
      <alignment vertical="center" wrapText="1"/>
    </xf>
    <xf numFmtId="0" fontId="24" fillId="0" borderId="0" xfId="0" applyFont="1"/>
    <xf numFmtId="0" fontId="22" fillId="2" borderId="0" xfId="0" applyFont="1" applyFill="1" applyAlignment="1">
      <alignment vertical="center"/>
    </xf>
    <xf numFmtId="0" fontId="24" fillId="2" borderId="0" xfId="0" applyFont="1" applyFill="1" applyAlignment="1">
      <alignment vertical="top"/>
    </xf>
    <xf numFmtId="0" fontId="24" fillId="2" borderId="1" xfId="0" applyFont="1" applyFill="1" applyBorder="1" applyAlignment="1">
      <alignment vertical="top"/>
    </xf>
    <xf numFmtId="0" fontId="28" fillId="2" borderId="0" xfId="0" applyFont="1" applyFill="1" applyAlignment="1">
      <alignment wrapText="1"/>
    </xf>
    <xf numFmtId="0" fontId="18" fillId="2" borderId="8" xfId="0" applyFont="1" applyFill="1" applyBorder="1" applyAlignment="1" applyProtection="1">
      <alignment horizontal="center" vertical="center"/>
      <protection locked="0"/>
    </xf>
    <xf numFmtId="166" fontId="18" fillId="2" borderId="8" xfId="0" applyNumberFormat="1"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protection locked="0"/>
    </xf>
    <xf numFmtId="166" fontId="18" fillId="2" borderId="7" xfId="0" applyNumberFormat="1" applyFont="1" applyFill="1" applyBorder="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166" fontId="18" fillId="2" borderId="11" xfId="0" applyNumberFormat="1" applyFont="1" applyFill="1" applyBorder="1" applyAlignment="1" applyProtection="1">
      <alignment horizontal="center" vertical="center"/>
      <protection locked="0"/>
    </xf>
    <xf numFmtId="2" fontId="29" fillId="3" borderId="32" xfId="0" applyNumberFormat="1" applyFont="1" applyFill="1" applyBorder="1" applyAlignment="1" applyProtection="1">
      <alignment horizontal="center"/>
      <protection locked="0" hidden="1"/>
    </xf>
    <xf numFmtId="2" fontId="29" fillId="3" borderId="33" xfId="0" applyNumberFormat="1" applyFont="1" applyFill="1" applyBorder="1" applyAlignment="1" applyProtection="1">
      <alignment horizontal="center"/>
      <protection locked="0" hidden="1"/>
    </xf>
    <xf numFmtId="0" fontId="18" fillId="2" borderId="0" xfId="0" applyFont="1" applyFill="1" applyProtection="1">
      <protection hidden="1"/>
    </xf>
    <xf numFmtId="166" fontId="18" fillId="2" borderId="0" xfId="0" applyNumberFormat="1" applyFont="1" applyFill="1" applyProtection="1">
      <protection hidden="1"/>
    </xf>
    <xf numFmtId="0" fontId="18" fillId="2" borderId="0" xfId="0" applyFont="1" applyFill="1" applyAlignment="1" applyProtection="1">
      <alignment horizontal="center"/>
      <protection hidden="1"/>
    </xf>
    <xf numFmtId="0" fontId="17" fillId="2" borderId="0" xfId="0" applyFont="1" applyFill="1" applyAlignment="1">
      <alignment horizontal="center" vertical="center"/>
    </xf>
    <xf numFmtId="0" fontId="8" fillId="2" borderId="34" xfId="0" applyFont="1" applyFill="1" applyBorder="1" applyProtection="1">
      <protection hidden="1"/>
    </xf>
    <xf numFmtId="0" fontId="8" fillId="2" borderId="34" xfId="0" applyFont="1" applyFill="1" applyBorder="1" applyAlignment="1" applyProtection="1">
      <alignment horizontal="center"/>
      <protection hidden="1"/>
    </xf>
    <xf numFmtId="9" fontId="8" fillId="4" borderId="35" xfId="0" applyNumberFormat="1" applyFont="1" applyFill="1" applyBorder="1" applyAlignment="1" applyProtection="1">
      <alignment horizontal="center"/>
      <protection hidden="1"/>
    </xf>
    <xf numFmtId="0" fontId="8" fillId="4" borderId="36" xfId="0" applyFont="1" applyFill="1" applyBorder="1" applyAlignment="1" applyProtection="1">
      <alignment horizontal="center"/>
      <protection hidden="1"/>
    </xf>
    <xf numFmtId="0" fontId="8" fillId="2" borderId="37" xfId="0" applyFont="1" applyFill="1" applyBorder="1" applyAlignment="1" applyProtection="1">
      <alignment horizontal="left"/>
      <protection hidden="1"/>
    </xf>
    <xf numFmtId="0" fontId="8" fillId="2" borderId="38" xfId="0" applyFont="1" applyFill="1" applyBorder="1" applyAlignment="1" applyProtection="1">
      <alignment horizontal="left"/>
      <protection hidden="1"/>
    </xf>
    <xf numFmtId="0" fontId="8" fillId="2" borderId="0" xfId="0" applyFont="1" applyFill="1" applyProtection="1">
      <protection hidden="1"/>
    </xf>
    <xf numFmtId="0" fontId="8" fillId="2" borderId="0" xfId="0" applyFont="1" applyFill="1" applyAlignment="1" applyProtection="1">
      <alignment horizontal="center"/>
      <protection hidden="1"/>
    </xf>
    <xf numFmtId="0" fontId="8" fillId="2" borderId="39" xfId="0" applyFont="1" applyFill="1" applyBorder="1" applyAlignment="1" applyProtection="1">
      <alignment horizontal="left"/>
      <protection hidden="1"/>
    </xf>
    <xf numFmtId="0" fontId="8" fillId="2" borderId="34" xfId="0" applyFont="1" applyFill="1" applyBorder="1" applyAlignment="1" applyProtection="1">
      <alignment horizontal="left"/>
      <protection hidden="1"/>
    </xf>
    <xf numFmtId="0" fontId="8" fillId="2" borderId="40" xfId="0" applyFont="1" applyFill="1" applyBorder="1" applyAlignment="1" applyProtection="1">
      <alignment horizontal="left"/>
      <protection hidden="1"/>
    </xf>
    <xf numFmtId="168" fontId="8" fillId="2" borderId="41" xfId="0" applyNumberFormat="1" applyFont="1" applyFill="1" applyBorder="1" applyProtection="1">
      <protection hidden="1"/>
    </xf>
    <xf numFmtId="1" fontId="8" fillId="2" borderId="34" xfId="0" applyNumberFormat="1" applyFont="1" applyFill="1" applyBorder="1" applyProtection="1">
      <protection hidden="1"/>
    </xf>
    <xf numFmtId="0" fontId="8" fillId="2" borderId="29" xfId="0" applyFont="1" applyFill="1" applyBorder="1" applyAlignment="1" applyProtection="1">
      <alignment horizontal="center"/>
      <protection hidden="1"/>
    </xf>
    <xf numFmtId="0" fontId="8" fillId="2" borderId="29" xfId="0" applyFont="1" applyFill="1" applyBorder="1" applyProtection="1">
      <protection hidden="1"/>
    </xf>
    <xf numFmtId="2" fontId="8" fillId="2" borderId="0" xfId="0" applyNumberFormat="1" applyFont="1" applyFill="1" applyProtection="1">
      <protection hidden="1"/>
    </xf>
    <xf numFmtId="0" fontId="8" fillId="2" borderId="29" xfId="0" applyFont="1" applyFill="1" applyBorder="1" applyAlignment="1" applyProtection="1">
      <alignment horizontal="left"/>
      <protection hidden="1"/>
    </xf>
    <xf numFmtId="0" fontId="8" fillId="2" borderId="42" xfId="0" applyFont="1" applyFill="1" applyBorder="1" applyAlignment="1" applyProtection="1">
      <alignment horizontal="left"/>
      <protection hidden="1"/>
    </xf>
    <xf numFmtId="0" fontId="8" fillId="2" borderId="0" xfId="0" applyFont="1" applyFill="1" applyAlignment="1" applyProtection="1">
      <alignment horizontal="left"/>
      <protection hidden="1"/>
    </xf>
    <xf numFmtId="0" fontId="8" fillId="2" borderId="43" xfId="0" applyFont="1" applyFill="1" applyBorder="1" applyAlignment="1" applyProtection="1">
      <alignment horizontal="left"/>
      <protection hidden="1"/>
    </xf>
    <xf numFmtId="168" fontId="8" fillId="2" borderId="44" xfId="0" applyNumberFormat="1" applyFont="1" applyFill="1" applyBorder="1" applyProtection="1">
      <protection hidden="1"/>
    </xf>
    <xf numFmtId="1" fontId="8" fillId="2" borderId="0" xfId="0" applyNumberFormat="1" applyFont="1" applyFill="1" applyProtection="1">
      <protection hidden="1"/>
    </xf>
    <xf numFmtId="0" fontId="18" fillId="2" borderId="29" xfId="0" applyFont="1" applyFill="1" applyBorder="1" applyAlignment="1">
      <alignment horizontal="left"/>
    </xf>
    <xf numFmtId="0" fontId="18" fillId="2" borderId="0" xfId="0" applyFont="1" applyFill="1" applyAlignment="1">
      <alignment horizontal="right"/>
    </xf>
    <xf numFmtId="0" fontId="18" fillId="2" borderId="29" xfId="0" applyFont="1" applyFill="1" applyBorder="1"/>
    <xf numFmtId="1" fontId="8" fillId="2" borderId="44" xfId="0" applyNumberFormat="1" applyFont="1" applyFill="1" applyBorder="1" applyProtection="1">
      <protection hidden="1"/>
    </xf>
    <xf numFmtId="1" fontId="8" fillId="2" borderId="29" xfId="0" applyNumberFormat="1" applyFont="1" applyFill="1" applyBorder="1" applyAlignment="1" applyProtection="1">
      <alignment horizontal="center"/>
      <protection hidden="1"/>
    </xf>
    <xf numFmtId="0" fontId="18" fillId="2" borderId="0" xfId="0" applyFont="1" applyFill="1" applyAlignment="1">
      <alignment vertical="center" wrapText="1"/>
    </xf>
    <xf numFmtId="1" fontId="8" fillId="2" borderId="44" xfId="0" applyNumberFormat="1" applyFont="1" applyFill="1" applyBorder="1" applyAlignment="1" applyProtection="1">
      <alignment horizontal="right"/>
      <protection hidden="1"/>
    </xf>
    <xf numFmtId="0" fontId="8" fillId="2" borderId="0" xfId="0" applyFont="1" applyFill="1" applyAlignment="1" applyProtection="1">
      <alignment vertical="center" wrapText="1"/>
      <protection hidden="1"/>
    </xf>
    <xf numFmtId="0" fontId="8" fillId="2" borderId="29" xfId="0" applyFont="1" applyFill="1" applyBorder="1" applyAlignment="1" applyProtection="1">
      <alignment vertical="center" wrapText="1"/>
      <protection hidden="1"/>
    </xf>
    <xf numFmtId="0" fontId="8" fillId="2" borderId="45" xfId="0" applyFont="1" applyFill="1" applyBorder="1" applyAlignment="1" applyProtection="1">
      <alignment horizontal="left"/>
      <protection hidden="1"/>
    </xf>
    <xf numFmtId="1" fontId="8" fillId="2" borderId="46" xfId="0" applyNumberFormat="1" applyFont="1" applyFill="1" applyBorder="1" applyProtection="1">
      <protection hidden="1"/>
    </xf>
    <xf numFmtId="0" fontId="8" fillId="2" borderId="38" xfId="0" applyFont="1" applyFill="1" applyBorder="1" applyAlignment="1" applyProtection="1">
      <alignment vertical="center" wrapText="1"/>
      <protection hidden="1"/>
    </xf>
    <xf numFmtId="0" fontId="8" fillId="2" borderId="31" xfId="0" applyFont="1" applyFill="1" applyBorder="1" applyAlignment="1" applyProtection="1">
      <alignment vertical="center" wrapText="1"/>
      <protection hidden="1"/>
    </xf>
    <xf numFmtId="0" fontId="17" fillId="2" borderId="0" xfId="0" applyFont="1" applyFill="1" applyProtection="1">
      <protection hidden="1"/>
    </xf>
    <xf numFmtId="0" fontId="6" fillId="2" borderId="0" xfId="0" applyFont="1" applyFill="1" applyAlignment="1" applyProtection="1">
      <alignment horizontal="center"/>
      <protection hidden="1"/>
    </xf>
    <xf numFmtId="0" fontId="17" fillId="2" borderId="34" xfId="0" applyFont="1" applyFill="1" applyBorder="1" applyProtection="1">
      <protection hidden="1"/>
    </xf>
    <xf numFmtId="1" fontId="17" fillId="2" borderId="34" xfId="0" applyNumberFormat="1" applyFont="1" applyFill="1" applyBorder="1" applyProtection="1">
      <protection hidden="1"/>
    </xf>
    <xf numFmtId="0" fontId="17" fillId="2" borderId="34" xfId="0" applyFont="1" applyFill="1" applyBorder="1" applyAlignment="1" applyProtection="1">
      <alignment horizontal="center"/>
      <protection hidden="1"/>
    </xf>
    <xf numFmtId="0" fontId="6" fillId="2" borderId="0" xfId="0" applyFont="1" applyFill="1" applyAlignment="1" applyProtection="1">
      <alignment horizontal="right"/>
      <protection hidden="1"/>
    </xf>
    <xf numFmtId="0" fontId="17" fillId="4" borderId="47" xfId="0" applyFont="1" applyFill="1" applyBorder="1" applyProtection="1">
      <protection hidden="1"/>
    </xf>
    <xf numFmtId="2" fontId="17" fillId="4" borderId="48" xfId="0" applyNumberFormat="1" applyFont="1" applyFill="1" applyBorder="1" applyProtection="1">
      <protection hidden="1"/>
    </xf>
    <xf numFmtId="0" fontId="17" fillId="4" borderId="47" xfId="0" applyFont="1" applyFill="1" applyBorder="1" applyAlignment="1" applyProtection="1">
      <alignment horizontal="left"/>
      <protection hidden="1"/>
    </xf>
    <xf numFmtId="0" fontId="14" fillId="2" borderId="13" xfId="0" applyFont="1" applyFill="1" applyBorder="1"/>
    <xf numFmtId="0" fontId="14" fillId="2" borderId="14" xfId="0" applyFont="1" applyFill="1" applyBorder="1"/>
    <xf numFmtId="0" fontId="28" fillId="0" borderId="0" xfId="0" applyFont="1"/>
    <xf numFmtId="0" fontId="24" fillId="2" borderId="1" xfId="0" applyFont="1" applyFill="1" applyBorder="1" applyAlignment="1">
      <alignment horizontal="left" vertical="top"/>
    </xf>
    <xf numFmtId="0" fontId="1" fillId="2" borderId="0" xfId="0" applyFont="1" applyFill="1" applyAlignment="1" applyProtection="1">
      <alignment vertical="center" wrapText="1"/>
      <protection hidden="1"/>
    </xf>
    <xf numFmtId="0" fontId="1" fillId="2" borderId="29" xfId="0" applyFont="1" applyFill="1" applyBorder="1" applyAlignment="1" applyProtection="1">
      <alignment vertical="center" wrapText="1"/>
      <protection hidden="1"/>
    </xf>
    <xf numFmtId="0" fontId="18" fillId="2" borderId="5" xfId="0" applyFont="1" applyFill="1" applyBorder="1" applyProtection="1">
      <protection locked="0"/>
    </xf>
    <xf numFmtId="0" fontId="18" fillId="2" borderId="5" xfId="0" applyFont="1" applyFill="1" applyBorder="1" applyAlignment="1">
      <alignment horizontal="center"/>
    </xf>
    <xf numFmtId="0" fontId="18" fillId="2" borderId="2" xfId="0" applyFont="1" applyFill="1" applyBorder="1" applyAlignment="1">
      <alignment horizontal="center"/>
    </xf>
    <xf numFmtId="165" fontId="18" fillId="2" borderId="2" xfId="0" applyNumberFormat="1" applyFont="1" applyFill="1" applyBorder="1" applyAlignment="1">
      <alignment horizontal="center"/>
    </xf>
    <xf numFmtId="0" fontId="18" fillId="2" borderId="2" xfId="0" applyFont="1" applyFill="1" applyBorder="1" applyAlignment="1" applyProtection="1">
      <alignment horizontal="center"/>
      <protection locked="0"/>
    </xf>
    <xf numFmtId="166" fontId="18" fillId="2" borderId="2" xfId="0" applyNumberFormat="1" applyFont="1" applyFill="1" applyBorder="1" applyAlignment="1" applyProtection="1">
      <alignment horizontal="center"/>
      <protection locked="0"/>
    </xf>
    <xf numFmtId="166" fontId="18" fillId="2" borderId="2" xfId="0" applyNumberFormat="1" applyFont="1" applyFill="1" applyBorder="1" applyProtection="1">
      <protection locked="0"/>
    </xf>
    <xf numFmtId="166" fontId="18" fillId="2" borderId="2" xfId="0" applyNumberFormat="1" applyFont="1" applyFill="1" applyBorder="1" applyAlignment="1">
      <alignment horizontal="center"/>
    </xf>
    <xf numFmtId="166" fontId="18" fillId="2" borderId="2" xfId="0" applyNumberFormat="1" applyFont="1" applyFill="1" applyBorder="1" applyAlignment="1">
      <alignment horizontal="center" vertical="center"/>
    </xf>
    <xf numFmtId="1" fontId="18" fillId="2" borderId="2" xfId="0" applyNumberFormat="1" applyFont="1" applyFill="1" applyBorder="1" applyAlignment="1" applyProtection="1">
      <alignment horizontal="center"/>
      <protection locked="0"/>
    </xf>
    <xf numFmtId="0" fontId="18" fillId="2" borderId="2" xfId="0" applyFont="1" applyFill="1" applyBorder="1" applyAlignment="1" applyProtection="1">
      <alignment horizontal="center" vertical="center"/>
      <protection locked="0"/>
    </xf>
    <xf numFmtId="166" fontId="18" fillId="2" borderId="2" xfId="0" applyNumberFormat="1" applyFont="1" applyFill="1" applyBorder="1" applyAlignment="1" applyProtection="1">
      <alignment horizontal="center" vertical="center"/>
      <protection locked="0"/>
    </xf>
    <xf numFmtId="0" fontId="16" fillId="2" borderId="2" xfId="0" applyFont="1" applyFill="1" applyBorder="1"/>
    <xf numFmtId="0" fontId="14" fillId="2" borderId="25" xfId="0" applyFont="1" applyFill="1" applyBorder="1"/>
    <xf numFmtId="0" fontId="12" fillId="2" borderId="0" xfId="0" applyFont="1" applyFill="1" applyAlignment="1">
      <alignment horizontal="right" vertical="center"/>
    </xf>
    <xf numFmtId="46" fontId="14" fillId="2" borderId="0" xfId="0" applyNumberFormat="1" applyFont="1" applyFill="1" applyAlignment="1" applyProtection="1">
      <alignment horizontal="center" vertical="center"/>
      <protection locked="0"/>
    </xf>
    <xf numFmtId="0" fontId="14" fillId="2" borderId="0" xfId="0" applyFont="1" applyFill="1" applyAlignment="1" applyProtection="1">
      <alignment horizontal="center" vertical="center"/>
      <protection locked="0"/>
    </xf>
    <xf numFmtId="0" fontId="23" fillId="2" borderId="0" xfId="0" applyFont="1" applyFill="1" applyAlignment="1">
      <alignment horizontal="left"/>
    </xf>
    <xf numFmtId="0" fontId="14" fillId="4" borderId="0" xfId="0" applyFont="1" applyFill="1" applyAlignment="1" applyProtection="1">
      <alignment horizontal="center"/>
      <protection hidden="1"/>
    </xf>
    <xf numFmtId="0" fontId="1" fillId="4" borderId="0" xfId="0" applyFont="1" applyFill="1" applyAlignment="1" applyProtection="1">
      <alignment horizontal="center"/>
      <protection hidden="1"/>
    </xf>
    <xf numFmtId="0" fontId="14" fillId="2" borderId="2" xfId="0" applyFont="1" applyFill="1" applyBorder="1" applyProtection="1">
      <protection hidden="1"/>
    </xf>
    <xf numFmtId="2" fontId="25" fillId="2" borderId="0" xfId="0" applyNumberFormat="1" applyFont="1" applyFill="1" applyAlignment="1">
      <alignment horizontal="center" vertical="center"/>
    </xf>
    <xf numFmtId="2" fontId="6" fillId="2" borderId="0" xfId="0" applyNumberFormat="1" applyFont="1" applyFill="1" applyAlignment="1">
      <alignment horizontal="center" vertical="center"/>
    </xf>
    <xf numFmtId="2" fontId="17" fillId="2" borderId="0" xfId="0" applyNumberFormat="1" applyFont="1" applyFill="1" applyAlignment="1">
      <alignment horizontal="center" vertical="center"/>
    </xf>
    <xf numFmtId="0" fontId="14" fillId="2" borderId="0" xfId="0" applyFont="1" applyFill="1" applyAlignment="1">
      <alignment horizontal="left" vertical="top" wrapText="1"/>
    </xf>
    <xf numFmtId="0" fontId="27" fillId="0" borderId="21" xfId="0" applyFont="1" applyBorder="1" applyAlignment="1">
      <alignment horizontal="center" vertical="center" wrapText="1"/>
    </xf>
    <xf numFmtId="0" fontId="22" fillId="2" borderId="0" xfId="0" applyFont="1" applyFill="1" applyAlignment="1">
      <alignment horizontal="center" vertical="center"/>
    </xf>
    <xf numFmtId="0" fontId="24" fillId="2" borderId="0" xfId="0" applyFont="1" applyFill="1" applyAlignment="1">
      <alignment horizontal="left"/>
    </xf>
    <xf numFmtId="0" fontId="28" fillId="0" borderId="0" xfId="0" applyFont="1" applyAlignment="1">
      <alignment horizontal="left" vertical="center" wrapText="1"/>
    </xf>
    <xf numFmtId="0" fontId="24" fillId="2" borderId="0" xfId="0" applyFont="1" applyFill="1" applyAlignment="1">
      <alignment horizontal="left" vertical="center" wrapText="1"/>
    </xf>
    <xf numFmtId="0" fontId="24" fillId="2" borderId="1" xfId="0" applyFont="1" applyFill="1" applyBorder="1" applyAlignment="1">
      <alignment horizontal="left"/>
    </xf>
    <xf numFmtId="0" fontId="24" fillId="2" borderId="0" xfId="0" applyFont="1" applyFill="1" applyAlignment="1">
      <alignment horizontal="left" vertical="top" wrapText="1"/>
    </xf>
    <xf numFmtId="0" fontId="24" fillId="2" borderId="1" xfId="0" applyFont="1" applyFill="1" applyBorder="1" applyAlignment="1">
      <alignment horizontal="left" vertical="top" wrapText="1"/>
    </xf>
    <xf numFmtId="0" fontId="24" fillId="2" borderId="0" xfId="0" applyFont="1" applyFill="1" applyAlignment="1">
      <alignment horizontal="left" vertical="top"/>
    </xf>
    <xf numFmtId="0" fontId="24" fillId="2" borderId="1" xfId="0" applyFont="1" applyFill="1" applyBorder="1" applyAlignment="1">
      <alignment horizontal="left" vertical="top"/>
    </xf>
    <xf numFmtId="0" fontId="14" fillId="2" borderId="0" xfId="0" applyFont="1" applyFill="1" applyAlignment="1">
      <alignment horizontal="right"/>
    </xf>
    <xf numFmtId="0" fontId="14" fillId="4" borderId="49" xfId="0" applyFont="1" applyFill="1" applyBorder="1" applyAlignment="1" applyProtection="1">
      <alignment horizontal="center" vertical="center"/>
      <protection locked="0"/>
    </xf>
    <xf numFmtId="0" fontId="14" fillId="4" borderId="47" xfId="0" applyFont="1" applyFill="1" applyBorder="1" applyAlignment="1" applyProtection="1">
      <alignment horizontal="center" vertical="center"/>
      <protection locked="0"/>
    </xf>
    <xf numFmtId="0" fontId="24" fillId="2" borderId="0" xfId="0" applyFont="1" applyFill="1" applyAlignment="1">
      <alignment horizontal="left" vertical="center"/>
    </xf>
    <xf numFmtId="0" fontId="12" fillId="2" borderId="0" xfId="0" applyFont="1" applyFill="1" applyAlignment="1">
      <alignment horizontal="right" vertical="center"/>
    </xf>
    <xf numFmtId="0" fontId="12" fillId="2" borderId="29" xfId="0" applyFont="1" applyFill="1" applyBorder="1" applyAlignment="1">
      <alignment horizontal="right" vertical="center"/>
    </xf>
    <xf numFmtId="0" fontId="14" fillId="2" borderId="0" xfId="0" applyFont="1" applyFill="1" applyAlignment="1">
      <alignment horizontal="right" vertical="center"/>
    </xf>
    <xf numFmtId="14" fontId="14" fillId="4" borderId="49" xfId="0" applyNumberFormat="1" applyFont="1" applyFill="1" applyBorder="1" applyAlignment="1" applyProtection="1">
      <alignment horizontal="center" vertical="center"/>
      <protection locked="0"/>
    </xf>
    <xf numFmtId="0" fontId="14" fillId="4" borderId="48" xfId="0" applyFont="1" applyFill="1" applyBorder="1" applyAlignment="1" applyProtection="1">
      <alignment horizontal="center" vertical="center"/>
      <protection locked="0"/>
    </xf>
    <xf numFmtId="0" fontId="23" fillId="2" borderId="42" xfId="0" applyFont="1" applyFill="1" applyBorder="1" applyAlignment="1">
      <alignment horizontal="left"/>
    </xf>
    <xf numFmtId="0" fontId="23" fillId="2" borderId="0" xfId="0" applyFont="1" applyFill="1" applyAlignment="1">
      <alignment horizontal="left"/>
    </xf>
    <xf numFmtId="166" fontId="14" fillId="4" borderId="49" xfId="0" applyNumberFormat="1" applyFont="1" applyFill="1" applyBorder="1" applyAlignment="1" applyProtection="1">
      <alignment horizontal="center" vertical="center"/>
      <protection locked="0"/>
    </xf>
    <xf numFmtId="166" fontId="14" fillId="4" borderId="47" xfId="0" applyNumberFormat="1" applyFont="1" applyFill="1" applyBorder="1" applyAlignment="1" applyProtection="1">
      <alignment horizontal="center" vertical="center"/>
      <protection locked="0"/>
    </xf>
    <xf numFmtId="0" fontId="21" fillId="4" borderId="49" xfId="0" applyFont="1" applyFill="1" applyBorder="1" applyAlignment="1" applyProtection="1">
      <alignment horizontal="center" vertical="center"/>
      <protection locked="0"/>
    </xf>
    <xf numFmtId="0" fontId="21" fillId="4" borderId="47" xfId="0" applyFont="1" applyFill="1" applyBorder="1" applyAlignment="1" applyProtection="1">
      <alignment horizontal="center" vertical="center"/>
      <protection locked="0"/>
    </xf>
    <xf numFmtId="0" fontId="14" fillId="2" borderId="29" xfId="0" applyFont="1" applyFill="1" applyBorder="1" applyAlignment="1">
      <alignment horizontal="right" vertical="center"/>
    </xf>
    <xf numFmtId="46" fontId="14" fillId="4" borderId="49" xfId="0" applyNumberFormat="1" applyFont="1" applyFill="1" applyBorder="1" applyAlignment="1">
      <alignment horizontal="center" vertical="center"/>
    </xf>
    <xf numFmtId="0" fontId="14" fillId="4" borderId="47" xfId="0" applyFont="1" applyFill="1" applyBorder="1" applyAlignment="1">
      <alignment horizontal="center" vertical="center"/>
    </xf>
    <xf numFmtId="164" fontId="21" fillId="4" borderId="49" xfId="0" applyNumberFormat="1" applyFont="1" applyFill="1" applyBorder="1" applyAlignment="1">
      <alignment horizontal="center" vertical="center"/>
    </xf>
    <xf numFmtId="164" fontId="21" fillId="4" borderId="47" xfId="0" applyNumberFormat="1" applyFont="1" applyFill="1" applyBorder="1" applyAlignment="1">
      <alignment horizontal="center" vertical="center"/>
    </xf>
    <xf numFmtId="164" fontId="21" fillId="4" borderId="49" xfId="0" applyNumberFormat="1" applyFont="1" applyFill="1" applyBorder="1" applyAlignment="1" applyProtection="1">
      <alignment horizontal="center" vertical="center"/>
      <protection locked="0"/>
    </xf>
    <xf numFmtId="164" fontId="21" fillId="4" borderId="47" xfId="0" applyNumberFormat="1" applyFont="1" applyFill="1" applyBorder="1" applyAlignment="1" applyProtection="1">
      <alignment horizontal="center" vertical="center"/>
      <protection locked="0"/>
    </xf>
    <xf numFmtId="0" fontId="14" fillId="4" borderId="42" xfId="0" applyFont="1" applyFill="1" applyBorder="1" applyAlignment="1">
      <alignment horizontal="left" vertical="center"/>
    </xf>
    <xf numFmtId="0" fontId="14" fillId="4" borderId="0" xfId="0" applyFont="1" applyFill="1" applyAlignment="1">
      <alignment horizontal="left" vertical="center"/>
    </xf>
    <xf numFmtId="0" fontId="14" fillId="4" borderId="50" xfId="0" applyFont="1" applyFill="1" applyBorder="1" applyAlignment="1">
      <alignment horizontal="left" vertical="center"/>
    </xf>
    <xf numFmtId="0" fontId="14" fillId="4" borderId="42" xfId="0" applyFont="1" applyFill="1" applyBorder="1" applyAlignment="1">
      <alignment horizontal="left"/>
    </xf>
    <xf numFmtId="0" fontId="14" fillId="4" borderId="0" xfId="0" applyFont="1" applyFill="1" applyAlignment="1">
      <alignment horizontal="left"/>
    </xf>
    <xf numFmtId="0" fontId="14" fillId="4" borderId="50" xfId="0" applyFont="1" applyFill="1" applyBorder="1" applyAlignment="1">
      <alignment horizontal="left"/>
    </xf>
    <xf numFmtId="0" fontId="2" fillId="4" borderId="39" xfId="0" applyFont="1" applyFill="1" applyBorder="1" applyAlignment="1">
      <alignment horizontal="left" vertical="center"/>
    </xf>
    <xf numFmtId="0" fontId="2" fillId="4" borderId="34" xfId="0" applyFont="1" applyFill="1" applyBorder="1" applyAlignment="1">
      <alignment horizontal="left" vertical="center"/>
    </xf>
    <xf numFmtId="0" fontId="2" fillId="4" borderId="51" xfId="0" applyFont="1" applyFill="1" applyBorder="1" applyAlignment="1">
      <alignment horizontal="left" vertical="center"/>
    </xf>
    <xf numFmtId="0" fontId="14" fillId="4" borderId="42" xfId="0" applyFont="1" applyFill="1" applyBorder="1" applyAlignment="1" applyProtection="1">
      <alignment horizontal="left"/>
      <protection locked="0"/>
    </xf>
    <xf numFmtId="0" fontId="14" fillId="4" borderId="0" xfId="0" applyFont="1" applyFill="1" applyAlignment="1" applyProtection="1">
      <alignment horizontal="left"/>
      <protection locked="0"/>
    </xf>
    <xf numFmtId="0" fontId="14" fillId="4" borderId="50" xfId="0" applyFont="1" applyFill="1" applyBorder="1" applyAlignment="1" applyProtection="1">
      <alignment horizontal="left"/>
      <protection locked="0"/>
    </xf>
    <xf numFmtId="0" fontId="2" fillId="4" borderId="42" xfId="0" applyFont="1" applyFill="1" applyBorder="1" applyAlignment="1" applyProtection="1">
      <alignment horizontal="left" vertical="center"/>
      <protection locked="0"/>
    </xf>
    <xf numFmtId="0" fontId="2" fillId="4" borderId="0" xfId="0" applyFont="1" applyFill="1" applyAlignment="1" applyProtection="1">
      <alignment horizontal="left" vertical="center"/>
      <protection locked="0"/>
    </xf>
    <xf numFmtId="0" fontId="2" fillId="4" borderId="50" xfId="0" applyFont="1" applyFill="1" applyBorder="1" applyAlignment="1" applyProtection="1">
      <alignment horizontal="left" vertical="center"/>
      <protection locked="0"/>
    </xf>
    <xf numFmtId="0" fontId="21" fillId="2" borderId="0" xfId="0" applyFont="1" applyFill="1" applyAlignment="1">
      <alignment horizontal="center" vertical="top" wrapText="1"/>
    </xf>
    <xf numFmtId="0" fontId="2" fillId="4" borderId="52" xfId="0" applyFont="1" applyFill="1" applyBorder="1" applyAlignment="1">
      <alignment horizontal="left" vertical="center"/>
    </xf>
    <xf numFmtId="0" fontId="2" fillId="4" borderId="53" xfId="0" applyFont="1" applyFill="1" applyBorder="1" applyAlignment="1">
      <alignment horizontal="left" vertical="center"/>
    </xf>
    <xf numFmtId="0" fontId="2" fillId="4" borderId="54" xfId="0" applyFont="1" applyFill="1" applyBorder="1" applyAlignment="1">
      <alignment horizontal="left" vertical="center"/>
    </xf>
    <xf numFmtId="0" fontId="14" fillId="4" borderId="37" xfId="0" applyFont="1" applyFill="1" applyBorder="1" applyAlignment="1" applyProtection="1">
      <alignment horizontal="left"/>
      <protection locked="0"/>
    </xf>
    <xf numFmtId="0" fontId="14" fillId="4" borderId="38" xfId="0" applyFont="1" applyFill="1" applyBorder="1" applyAlignment="1" applyProtection="1">
      <alignment horizontal="left"/>
      <protection locked="0"/>
    </xf>
    <xf numFmtId="0" fontId="14" fillId="4" borderId="55" xfId="0" applyFont="1" applyFill="1" applyBorder="1" applyAlignment="1" applyProtection="1">
      <alignment horizontal="left"/>
      <protection locked="0"/>
    </xf>
    <xf numFmtId="0" fontId="25" fillId="2" borderId="18" xfId="0" applyFont="1" applyFill="1" applyBorder="1" applyAlignment="1">
      <alignment horizontal="right" vertical="center"/>
    </xf>
    <xf numFmtId="0" fontId="25" fillId="2" borderId="13" xfId="0" applyFont="1" applyFill="1" applyBorder="1" applyAlignment="1">
      <alignment horizontal="right" vertical="center"/>
    </xf>
    <xf numFmtId="166" fontId="20" fillId="3" borderId="38" xfId="0" applyNumberFormat="1" applyFont="1" applyFill="1" applyBorder="1" applyAlignment="1" applyProtection="1">
      <alignment horizontal="center"/>
      <protection locked="0"/>
    </xf>
    <xf numFmtId="166" fontId="20" fillId="3" borderId="31" xfId="0" applyNumberFormat="1" applyFont="1" applyFill="1" applyBorder="1" applyAlignment="1" applyProtection="1">
      <alignment horizontal="center"/>
      <protection locked="0"/>
    </xf>
    <xf numFmtId="0" fontId="25" fillId="2" borderId="4" xfId="0" applyFont="1" applyFill="1" applyBorder="1" applyAlignment="1">
      <alignment horizontal="right" vertical="center"/>
    </xf>
    <xf numFmtId="0" fontId="25" fillId="2" borderId="2" xfId="0" applyFont="1" applyFill="1" applyBorder="1" applyAlignment="1">
      <alignment horizontal="right" vertical="center"/>
    </xf>
    <xf numFmtId="2" fontId="8" fillId="2" borderId="42" xfId="0" applyNumberFormat="1" applyFont="1" applyFill="1" applyBorder="1" applyAlignment="1" applyProtection="1">
      <alignment horizontal="right"/>
      <protection hidden="1"/>
    </xf>
    <xf numFmtId="2" fontId="8" fillId="2" borderId="0" xfId="0" applyNumberFormat="1" applyFont="1" applyFill="1" applyAlignment="1" applyProtection="1">
      <alignment horizontal="right"/>
      <protection hidden="1"/>
    </xf>
    <xf numFmtId="166" fontId="20" fillId="3" borderId="56" xfId="0" applyNumberFormat="1" applyFont="1" applyFill="1" applyBorder="1" applyAlignment="1" applyProtection="1">
      <alignment horizontal="center"/>
      <protection locked="0"/>
    </xf>
    <xf numFmtId="166" fontId="20" fillId="3" borderId="57" xfId="0" applyNumberFormat="1" applyFont="1" applyFill="1" applyBorder="1" applyAlignment="1" applyProtection="1">
      <alignment horizontal="center"/>
      <protection locked="0"/>
    </xf>
    <xf numFmtId="0" fontId="25" fillId="2" borderId="5" xfId="0" applyFont="1" applyFill="1" applyBorder="1" applyAlignment="1">
      <alignment horizontal="right" vertical="center"/>
    </xf>
    <xf numFmtId="0" fontId="25" fillId="2" borderId="0" xfId="0" applyFont="1" applyFill="1" applyAlignment="1">
      <alignment horizontal="right" vertical="center"/>
    </xf>
    <xf numFmtId="0" fontId="1" fillId="2" borderId="0" xfId="0" applyFont="1" applyFill="1" applyAlignment="1" applyProtection="1">
      <alignment horizontal="center" vertical="center"/>
      <protection hidden="1"/>
    </xf>
    <xf numFmtId="0" fontId="1" fillId="2" borderId="29" xfId="0" applyFont="1" applyFill="1" applyBorder="1" applyAlignment="1" applyProtection="1">
      <alignment horizontal="center" vertical="center"/>
      <protection hidden="1"/>
    </xf>
    <xf numFmtId="0" fontId="8" fillId="2" borderId="42" xfId="0" applyFont="1" applyFill="1" applyBorder="1" applyAlignment="1" applyProtection="1">
      <alignment horizontal="left"/>
      <protection hidden="1"/>
    </xf>
    <xf numFmtId="0" fontId="8" fillId="2" borderId="0" xfId="0" applyFont="1" applyFill="1" applyAlignment="1" applyProtection="1">
      <alignment horizontal="left"/>
      <protection hidden="1"/>
    </xf>
    <xf numFmtId="9" fontId="20" fillId="3" borderId="18" xfId="1" applyFont="1" applyFill="1" applyBorder="1" applyAlignment="1" applyProtection="1">
      <alignment horizontal="center"/>
      <protection locked="0" hidden="1"/>
    </xf>
    <xf numFmtId="9" fontId="20" fillId="3" borderId="14" xfId="1" applyFont="1" applyFill="1" applyBorder="1" applyAlignment="1" applyProtection="1">
      <alignment horizontal="center"/>
      <protection locked="0" hidden="1"/>
    </xf>
    <xf numFmtId="166" fontId="18" fillId="2" borderId="13" xfId="0" applyNumberFormat="1" applyFont="1" applyFill="1" applyBorder="1" applyAlignment="1">
      <alignment horizontal="center"/>
    </xf>
    <xf numFmtId="166" fontId="18" fillId="2" borderId="14" xfId="0" applyNumberFormat="1" applyFont="1" applyFill="1" applyBorder="1" applyAlignment="1">
      <alignment horizontal="center"/>
    </xf>
    <xf numFmtId="0" fontId="17" fillId="4" borderId="49" xfId="0" applyFont="1" applyFill="1" applyBorder="1" applyAlignment="1">
      <alignment horizontal="left"/>
    </xf>
    <xf numFmtId="0" fontId="17" fillId="4" borderId="48" xfId="0" applyFont="1" applyFill="1" applyBorder="1" applyAlignment="1">
      <alignment horizontal="left"/>
    </xf>
    <xf numFmtId="0" fontId="20" fillId="3" borderId="48" xfId="0" applyFont="1" applyFill="1" applyBorder="1" applyAlignment="1" applyProtection="1">
      <alignment horizontal="center"/>
      <protection locked="0"/>
    </xf>
    <xf numFmtId="0" fontId="20" fillId="3" borderId="47" xfId="0" applyFont="1" applyFill="1" applyBorder="1" applyAlignment="1" applyProtection="1">
      <alignment horizontal="center"/>
      <protection locked="0"/>
    </xf>
    <xf numFmtId="0" fontId="17" fillId="4" borderId="39" xfId="0" applyFont="1" applyFill="1" applyBorder="1" applyAlignment="1">
      <alignment horizontal="left"/>
    </xf>
    <xf numFmtId="0" fontId="17" fillId="4" borderId="34" xfId="0" applyFont="1" applyFill="1" applyBorder="1" applyAlignment="1">
      <alignment horizontal="left"/>
    </xf>
    <xf numFmtId="0" fontId="17" fillId="4" borderId="28" xfId="0" applyFont="1" applyFill="1" applyBorder="1" applyAlignment="1">
      <alignment horizontal="left"/>
    </xf>
    <xf numFmtId="0" fontId="18" fillId="2" borderId="18" xfId="0" applyFont="1" applyFill="1" applyBorder="1" applyAlignment="1">
      <alignment horizontal="left"/>
    </xf>
    <xf numFmtId="0" fontId="18" fillId="2" borderId="13" xfId="0" applyFont="1" applyFill="1" applyBorder="1" applyAlignment="1">
      <alignment horizontal="left"/>
    </xf>
    <xf numFmtId="0" fontId="6" fillId="4" borderId="39" xfId="0" applyFont="1" applyFill="1" applyBorder="1" applyAlignment="1" applyProtection="1">
      <alignment horizontal="center" vertical="center" wrapText="1"/>
      <protection hidden="1"/>
    </xf>
    <xf numFmtId="0" fontId="6" fillId="4" borderId="58" xfId="0" applyFont="1" applyFill="1" applyBorder="1" applyAlignment="1" applyProtection="1">
      <alignment horizontal="center" vertical="center" wrapText="1"/>
      <protection hidden="1"/>
    </xf>
    <xf numFmtId="0" fontId="6" fillId="4" borderId="42"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10" fontId="6" fillId="4" borderId="37" xfId="0" applyNumberFormat="1" applyFont="1" applyFill="1" applyBorder="1" applyAlignment="1" applyProtection="1">
      <alignment horizontal="center"/>
      <protection hidden="1"/>
    </xf>
    <xf numFmtId="10" fontId="6" fillId="4" borderId="59" xfId="0" applyNumberFormat="1" applyFont="1" applyFill="1" applyBorder="1" applyAlignment="1" applyProtection="1">
      <alignment horizontal="center"/>
      <protection hidden="1"/>
    </xf>
    <xf numFmtId="0" fontId="6" fillId="4" borderId="4" xfId="0" applyFont="1" applyFill="1" applyBorder="1" applyAlignment="1" applyProtection="1">
      <alignment horizontal="center"/>
      <protection hidden="1"/>
    </xf>
    <xf numFmtId="0" fontId="6" fillId="4" borderId="3" xfId="0" applyFont="1" applyFill="1" applyBorder="1" applyAlignment="1" applyProtection="1">
      <alignment horizontal="center"/>
      <protection hidden="1"/>
    </xf>
    <xf numFmtId="0" fontId="16" fillId="4" borderId="42" xfId="0" applyFont="1" applyFill="1" applyBorder="1" applyAlignment="1">
      <alignment horizontal="left"/>
    </xf>
    <xf numFmtId="0" fontId="16" fillId="4" borderId="0" xfId="0" applyFont="1" applyFill="1" applyAlignment="1">
      <alignment horizontal="left"/>
    </xf>
    <xf numFmtId="0" fontId="16" fillId="4" borderId="37" xfId="0" applyFont="1" applyFill="1" applyBorder="1" applyAlignment="1">
      <alignment horizontal="left"/>
    </xf>
    <xf numFmtId="0" fontId="16" fillId="4" borderId="38" xfId="0" applyFont="1" applyFill="1" applyBorder="1" applyAlignment="1">
      <alignment horizontal="left"/>
    </xf>
    <xf numFmtId="0" fontId="17" fillId="2" borderId="4" xfId="0" applyFont="1" applyFill="1" applyBorder="1" applyAlignment="1">
      <alignment horizontal="left"/>
    </xf>
    <xf numFmtId="0" fontId="17" fillId="2" borderId="2" xfId="0" applyFont="1" applyFill="1" applyBorder="1" applyAlignment="1">
      <alignment horizontal="left"/>
    </xf>
    <xf numFmtId="0" fontId="18" fillId="2" borderId="5" xfId="0" applyFont="1" applyFill="1" applyBorder="1" applyAlignment="1">
      <alignment horizontal="left"/>
    </xf>
    <xf numFmtId="0" fontId="18" fillId="2" borderId="0" xfId="0" applyFont="1" applyFill="1" applyAlignment="1">
      <alignment horizontal="left"/>
    </xf>
    <xf numFmtId="46" fontId="18" fillId="2" borderId="0" xfId="0" applyNumberFormat="1" applyFont="1" applyFill="1" applyAlignment="1">
      <alignment horizontal="center"/>
    </xf>
    <xf numFmtId="46" fontId="18" fillId="2" borderId="1" xfId="0" applyNumberFormat="1" applyFont="1" applyFill="1" applyBorder="1" applyAlignment="1">
      <alignment horizontal="center"/>
    </xf>
    <xf numFmtId="0" fontId="30" fillId="4" borderId="42" xfId="0" applyFont="1" applyFill="1" applyBorder="1" applyAlignment="1">
      <alignment horizontal="left"/>
    </xf>
    <xf numFmtId="0" fontId="30" fillId="4" borderId="0" xfId="0" applyFont="1" applyFill="1" applyAlignment="1">
      <alignment horizontal="left"/>
    </xf>
    <xf numFmtId="0" fontId="17" fillId="4" borderId="41" xfId="0" applyFont="1" applyFill="1" applyBorder="1" applyAlignment="1">
      <alignment horizontal="center"/>
    </xf>
    <xf numFmtId="0" fontId="17" fillId="4" borderId="40" xfId="0" applyFont="1" applyFill="1" applyBorder="1" applyAlignment="1">
      <alignment horizontal="center"/>
    </xf>
    <xf numFmtId="166" fontId="18" fillId="4" borderId="29" xfId="0" applyNumberFormat="1" applyFont="1" applyFill="1" applyBorder="1" applyAlignment="1">
      <alignment horizontal="center"/>
    </xf>
    <xf numFmtId="166" fontId="18" fillId="4" borderId="38" xfId="0" applyNumberFormat="1" applyFont="1" applyFill="1" applyBorder="1" applyAlignment="1">
      <alignment horizontal="center"/>
    </xf>
    <xf numFmtId="166" fontId="18" fillId="4" borderId="31" xfId="0" applyNumberFormat="1" applyFont="1" applyFill="1" applyBorder="1" applyAlignment="1">
      <alignment horizontal="center"/>
    </xf>
    <xf numFmtId="0" fontId="8" fillId="2" borderId="60" xfId="0" applyFont="1" applyFill="1" applyBorder="1" applyAlignment="1" applyProtection="1">
      <alignment horizontal="center"/>
      <protection hidden="1"/>
    </xf>
    <xf numFmtId="0" fontId="8" fillId="2" borderId="34" xfId="0" applyFont="1" applyFill="1" applyBorder="1" applyAlignment="1" applyProtection="1">
      <alignment horizontal="center"/>
      <protection hidden="1"/>
    </xf>
    <xf numFmtId="0" fontId="8" fillId="2" borderId="28" xfId="0" applyFont="1" applyFill="1" applyBorder="1" applyAlignment="1" applyProtection="1">
      <alignment horizontal="center"/>
      <protection hidden="1"/>
    </xf>
    <xf numFmtId="0" fontId="20" fillId="3" borderId="61" xfId="0" applyFont="1" applyFill="1" applyBorder="1" applyAlignment="1" applyProtection="1">
      <alignment horizontal="center"/>
      <protection locked="0" hidden="1"/>
    </xf>
    <xf numFmtId="0" fontId="20" fillId="3" borderId="62" xfId="0" applyFont="1" applyFill="1" applyBorder="1" applyAlignment="1" applyProtection="1">
      <alignment horizontal="center"/>
      <protection locked="0" hidden="1"/>
    </xf>
    <xf numFmtId="0" fontId="6" fillId="2" borderId="39" xfId="0" applyFont="1" applyFill="1" applyBorder="1" applyAlignment="1" applyProtection="1">
      <alignment horizontal="left"/>
      <protection hidden="1"/>
    </xf>
    <xf numFmtId="0" fontId="6" fillId="2" borderId="34" xfId="0" applyFont="1" applyFill="1" applyBorder="1" applyAlignment="1" applyProtection="1">
      <alignment horizontal="left"/>
      <protection hidden="1"/>
    </xf>
    <xf numFmtId="0" fontId="18" fillId="4" borderId="37" xfId="0" applyFont="1" applyFill="1" applyBorder="1" applyAlignment="1">
      <alignment horizontal="left"/>
    </xf>
    <xf numFmtId="0" fontId="18" fillId="4" borderId="38" xfId="0" applyFont="1" applyFill="1" applyBorder="1" applyAlignment="1">
      <alignment horizontal="left"/>
    </xf>
    <xf numFmtId="0" fontId="18" fillId="4" borderId="45" xfId="0" applyFont="1" applyFill="1" applyBorder="1" applyAlignment="1">
      <alignment horizontal="left"/>
    </xf>
    <xf numFmtId="0" fontId="18" fillId="4" borderId="44" xfId="0" applyFont="1" applyFill="1" applyBorder="1" applyAlignment="1">
      <alignment horizontal="center"/>
    </xf>
    <xf numFmtId="0" fontId="18" fillId="4" borderId="43" xfId="0" applyFont="1" applyFill="1" applyBorder="1" applyAlignment="1">
      <alignment horizontal="center"/>
    </xf>
    <xf numFmtId="0" fontId="17" fillId="4" borderId="34" xfId="0" applyFont="1" applyFill="1" applyBorder="1" applyAlignment="1">
      <alignment horizontal="center"/>
    </xf>
    <xf numFmtId="0" fontId="17" fillId="4" borderId="28" xfId="0" applyFont="1" applyFill="1" applyBorder="1" applyAlignment="1">
      <alignment horizontal="center"/>
    </xf>
    <xf numFmtId="0" fontId="8" fillId="4" borderId="63" xfId="0" applyFont="1" applyFill="1" applyBorder="1" applyAlignment="1" applyProtection="1">
      <alignment horizontal="center"/>
      <protection hidden="1"/>
    </xf>
    <xf numFmtId="0" fontId="8" fillId="4" borderId="64" xfId="0" applyFont="1" applyFill="1" applyBorder="1" applyAlignment="1" applyProtection="1">
      <alignment horizontal="center"/>
      <protection hidden="1"/>
    </xf>
    <xf numFmtId="0" fontId="25" fillId="2" borderId="0" xfId="0" applyFont="1" applyFill="1" applyAlignment="1">
      <alignment horizontal="center" vertical="center" wrapText="1"/>
    </xf>
    <xf numFmtId="0" fontId="20" fillId="3" borderId="1" xfId="0" applyFont="1" applyFill="1" applyBorder="1" applyAlignment="1">
      <alignment horizontal="center" vertical="center"/>
    </xf>
    <xf numFmtId="0" fontId="20" fillId="3" borderId="14"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8" xfId="0" applyFont="1" applyFill="1" applyBorder="1" applyAlignment="1">
      <alignment horizontal="center" vertical="center" wrapText="1"/>
    </xf>
    <xf numFmtId="0" fontId="20" fillId="3" borderId="11" xfId="0" applyFont="1" applyFill="1" applyBorder="1" applyAlignment="1">
      <alignment horizontal="center" vertical="center" wrapText="1"/>
    </xf>
    <xf numFmtId="2" fontId="25" fillId="2" borderId="0" xfId="0" applyNumberFormat="1" applyFont="1" applyFill="1" applyAlignment="1">
      <alignment horizontal="center" vertical="center"/>
    </xf>
    <xf numFmtId="0" fontId="17" fillId="2" borderId="5" xfId="0" applyFont="1" applyFill="1" applyBorder="1" applyAlignment="1">
      <alignment horizontal="center" vertical="center"/>
    </xf>
    <xf numFmtId="0" fontId="17" fillId="2" borderId="0" xfId="0" applyFont="1" applyFill="1" applyAlignment="1">
      <alignment horizontal="center" vertical="center"/>
    </xf>
    <xf numFmtId="0" fontId="17"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0" xfId="0" applyFont="1" applyFill="1" applyAlignment="1">
      <alignment horizontal="center" vertical="center"/>
    </xf>
    <xf numFmtId="0" fontId="20" fillId="3" borderId="4" xfId="0" applyFont="1" applyFill="1" applyBorder="1" applyAlignment="1">
      <alignment horizontal="center"/>
    </xf>
    <xf numFmtId="0" fontId="20" fillId="3" borderId="3" xfId="0" applyFont="1" applyFill="1" applyBorder="1" applyAlignment="1">
      <alignment horizontal="center"/>
    </xf>
    <xf numFmtId="0" fontId="20" fillId="3" borderId="2" xfId="0" applyFont="1" applyFill="1" applyBorder="1" applyAlignment="1">
      <alignment horizontal="center"/>
    </xf>
    <xf numFmtId="0" fontId="20" fillId="3" borderId="4" xfId="0" quotePrefix="1" applyFont="1" applyFill="1" applyBorder="1" applyAlignment="1">
      <alignment horizontal="center"/>
    </xf>
    <xf numFmtId="0" fontId="20" fillId="3" borderId="3" xfId="0" quotePrefix="1" applyFont="1" applyFill="1" applyBorder="1" applyAlignment="1">
      <alignment horizontal="center"/>
    </xf>
    <xf numFmtId="0" fontId="19" fillId="2" borderId="0" xfId="0" applyFont="1" applyFill="1" applyAlignment="1">
      <alignment horizontal="right" vertical="center"/>
    </xf>
    <xf numFmtId="0" fontId="19" fillId="2" borderId="0" xfId="0" applyFont="1" applyFill="1" applyAlignment="1" applyProtection="1">
      <alignment horizontal="center"/>
      <protection locked="0"/>
    </xf>
    <xf numFmtId="0" fontId="19" fillId="2" borderId="0" xfId="0" applyFont="1" applyFill="1" applyAlignment="1">
      <alignment horizontal="left" vertical="center"/>
    </xf>
    <xf numFmtId="0" fontId="20" fillId="3" borderId="18" xfId="0" applyFont="1" applyFill="1" applyBorder="1" applyAlignment="1">
      <alignment horizontal="center"/>
    </xf>
    <xf numFmtId="0" fontId="20" fillId="3" borderId="14" xfId="0" applyFont="1" applyFill="1" applyBorder="1" applyAlignment="1">
      <alignment horizontal="center"/>
    </xf>
    <xf numFmtId="0" fontId="17" fillId="2" borderId="0" xfId="0" applyFont="1" applyFill="1" applyAlignment="1">
      <alignment horizontal="center" vertical="center" wrapText="1"/>
    </xf>
    <xf numFmtId="0" fontId="20" fillId="3" borderId="8" xfId="0" applyFont="1" applyFill="1" applyBorder="1" applyAlignment="1">
      <alignment horizontal="center" wrapText="1"/>
    </xf>
    <xf numFmtId="0" fontId="20" fillId="3" borderId="11" xfId="0" applyFont="1" applyFill="1" applyBorder="1" applyAlignment="1">
      <alignment horizontal="center" wrapText="1"/>
    </xf>
    <xf numFmtId="20" fontId="20" fillId="3" borderId="4" xfId="0" applyNumberFormat="1" applyFont="1" applyFill="1" applyBorder="1" applyAlignment="1">
      <alignment horizontal="center"/>
    </xf>
    <xf numFmtId="20" fontId="20" fillId="3" borderId="3" xfId="0" applyNumberFormat="1" applyFont="1" applyFill="1" applyBorder="1" applyAlignment="1">
      <alignment horizontal="center"/>
    </xf>
    <xf numFmtId="0" fontId="25" fillId="2" borderId="4"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18"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6" fillId="2" borderId="0" xfId="0" applyFont="1" applyFill="1" applyAlignment="1">
      <alignment horizontal="center" vertical="center" wrapText="1"/>
    </xf>
    <xf numFmtId="0" fontId="31" fillId="2" borderId="0" xfId="0" applyFont="1" applyFill="1" applyAlignment="1">
      <alignment horizontal="left" vertical="center"/>
    </xf>
    <xf numFmtId="0" fontId="19" fillId="2" borderId="6" xfId="0" applyFont="1" applyFill="1" applyBorder="1" applyAlignment="1">
      <alignment horizontal="right" vertical="center"/>
    </xf>
    <xf numFmtId="167" fontId="20" fillId="3" borderId="18" xfId="0" applyNumberFormat="1" applyFont="1" applyFill="1" applyBorder="1" applyAlignment="1" applyProtection="1">
      <alignment horizontal="center"/>
      <protection locked="0" hidden="1"/>
    </xf>
    <xf numFmtId="167" fontId="20" fillId="3" borderId="14" xfId="0" applyNumberFormat="1" applyFont="1" applyFill="1" applyBorder="1" applyAlignment="1" applyProtection="1">
      <alignment horizontal="center"/>
      <protection locked="0" hidden="1"/>
    </xf>
    <xf numFmtId="0" fontId="20" fillId="3" borderId="44" xfId="0" applyFont="1" applyFill="1" applyBorder="1" applyAlignment="1" applyProtection="1">
      <alignment horizontal="center"/>
      <protection locked="0"/>
    </xf>
    <xf numFmtId="0" fontId="20" fillId="3" borderId="43" xfId="0" applyFont="1" applyFill="1" applyBorder="1" applyAlignment="1" applyProtection="1">
      <alignment horizontal="center"/>
      <protection locked="0"/>
    </xf>
    <xf numFmtId="0" fontId="18" fillId="4" borderId="46" xfId="0" applyFont="1" applyFill="1" applyBorder="1" applyAlignment="1">
      <alignment horizontal="center"/>
    </xf>
    <xf numFmtId="0" fontId="18" fillId="4" borderId="45" xfId="0" applyFont="1" applyFill="1" applyBorder="1" applyAlignment="1">
      <alignment horizontal="center"/>
    </xf>
    <xf numFmtId="166" fontId="8" fillId="4" borderId="29" xfId="0" applyNumberFormat="1" applyFont="1" applyFill="1" applyBorder="1" applyAlignment="1">
      <alignment horizontal="center"/>
    </xf>
    <xf numFmtId="1" fontId="20" fillId="3" borderId="65" xfId="0" applyNumberFormat="1" applyFont="1" applyFill="1" applyBorder="1" applyAlignment="1" applyProtection="1">
      <alignment horizontal="center"/>
      <protection locked="0" hidden="1"/>
    </xf>
    <xf numFmtId="1" fontId="20" fillId="3" borderId="66" xfId="0" applyNumberFormat="1" applyFont="1" applyFill="1" applyBorder="1" applyAlignment="1" applyProtection="1">
      <alignment horizontal="center"/>
      <protection locked="0" hidden="1"/>
    </xf>
    <xf numFmtId="169" fontId="8" fillId="2" borderId="67" xfId="0" applyNumberFormat="1" applyFont="1" applyFill="1" applyBorder="1" applyAlignment="1" applyProtection="1">
      <alignment horizontal="center"/>
      <protection hidden="1"/>
    </xf>
    <xf numFmtId="169" fontId="8" fillId="2" borderId="68" xfId="0" applyNumberFormat="1" applyFont="1" applyFill="1" applyBorder="1" applyAlignment="1" applyProtection="1">
      <alignment horizontal="center"/>
      <protection hidden="1"/>
    </xf>
    <xf numFmtId="169" fontId="8" fillId="2" borderId="69" xfId="0" applyNumberFormat="1" applyFont="1" applyFill="1" applyBorder="1" applyAlignment="1" applyProtection="1">
      <alignment horizontal="center"/>
      <protection hidden="1"/>
    </xf>
    <xf numFmtId="166" fontId="18" fillId="2" borderId="0" xfId="0" applyNumberFormat="1" applyFont="1" applyFill="1" applyAlignment="1">
      <alignment horizontal="center"/>
    </xf>
    <xf numFmtId="166" fontId="18" fillId="2" borderId="1" xfId="0" applyNumberFormat="1" applyFont="1" applyFill="1" applyBorder="1" applyAlignment="1">
      <alignment horizontal="center"/>
    </xf>
    <xf numFmtId="2" fontId="8" fillId="2" borderId="37" xfId="0" applyNumberFormat="1" applyFont="1" applyFill="1" applyBorder="1" applyAlignment="1" applyProtection="1">
      <alignment horizontal="right"/>
      <protection hidden="1"/>
    </xf>
    <xf numFmtId="2" fontId="8" fillId="2" borderId="38" xfId="0" applyNumberFormat="1" applyFont="1" applyFill="1" applyBorder="1" applyAlignment="1" applyProtection="1">
      <alignment horizontal="right"/>
      <protection hidden="1"/>
    </xf>
    <xf numFmtId="2" fontId="17" fillId="4" borderId="49" xfId="0" applyNumberFormat="1" applyFont="1" applyFill="1" applyBorder="1" applyAlignment="1" applyProtection="1">
      <alignment horizontal="right"/>
      <protection hidden="1"/>
    </xf>
    <xf numFmtId="2" fontId="17" fillId="4" borderId="48" xfId="0" applyNumberFormat="1" applyFont="1" applyFill="1" applyBorder="1" applyAlignment="1" applyProtection="1">
      <alignment horizontal="right"/>
      <protection hidden="1"/>
    </xf>
    <xf numFmtId="0" fontId="17" fillId="4" borderId="39" xfId="0" applyFont="1" applyFill="1" applyBorder="1" applyAlignment="1">
      <alignment horizontal="center"/>
    </xf>
    <xf numFmtId="0" fontId="18" fillId="4" borderId="42" xfId="0" applyFont="1" applyFill="1" applyBorder="1" applyAlignment="1">
      <alignment horizontal="left"/>
    </xf>
    <xf numFmtId="0" fontId="18" fillId="4" borderId="0" xfId="0" applyFont="1" applyFill="1" applyAlignment="1">
      <alignment horizontal="left"/>
    </xf>
    <xf numFmtId="0" fontId="18" fillId="4" borderId="43" xfId="0" applyFont="1" applyFill="1" applyBorder="1" applyAlignment="1">
      <alignment horizontal="left"/>
    </xf>
    <xf numFmtId="0" fontId="32" fillId="3" borderId="4" xfId="0" applyFont="1" applyFill="1" applyBorder="1" applyAlignment="1" applyProtection="1">
      <alignment horizontal="center" vertical="center"/>
      <protection hidden="1"/>
    </xf>
    <xf numFmtId="0" fontId="32" fillId="3" borderId="2" xfId="0" applyFont="1" applyFill="1" applyBorder="1" applyAlignment="1" applyProtection="1">
      <alignment horizontal="center" vertical="center"/>
      <protection hidden="1"/>
    </xf>
    <xf numFmtId="0" fontId="32" fillId="3" borderId="3" xfId="0" applyFont="1" applyFill="1" applyBorder="1" applyAlignment="1" applyProtection="1">
      <alignment horizontal="center" vertical="center"/>
      <protection hidden="1"/>
    </xf>
    <xf numFmtId="0" fontId="32" fillId="3" borderId="18" xfId="0" applyFont="1" applyFill="1" applyBorder="1" applyAlignment="1" applyProtection="1">
      <alignment horizontal="center" vertical="center"/>
      <protection hidden="1"/>
    </xf>
    <xf numFmtId="0" fontId="32" fillId="3" borderId="13" xfId="0" applyFont="1" applyFill="1" applyBorder="1" applyAlignment="1" applyProtection="1">
      <alignment horizontal="center" vertical="center"/>
      <protection hidden="1"/>
    </xf>
    <xf numFmtId="0" fontId="32" fillId="3" borderId="14" xfId="0" applyFont="1" applyFill="1" applyBorder="1" applyAlignment="1" applyProtection="1">
      <alignment horizontal="center" vertical="center"/>
      <protection hidden="1"/>
    </xf>
    <xf numFmtId="0" fontId="26" fillId="3" borderId="26" xfId="0" applyFont="1" applyFill="1" applyBorder="1" applyAlignment="1" applyProtection="1">
      <alignment horizontal="center"/>
      <protection hidden="1"/>
    </xf>
    <xf numFmtId="0" fontId="26" fillId="3" borderId="27" xfId="0" applyFont="1" applyFill="1" applyBorder="1" applyAlignment="1" applyProtection="1">
      <alignment horizontal="center"/>
      <protection hidden="1"/>
    </xf>
  </cellXfs>
  <cellStyles count="2">
    <cellStyle name="Procent" xfId="1" builtinId="5"/>
    <cellStyle name="Standaard" xfId="0" builtinId="0"/>
  </cellStyles>
  <dxfs count="25">
    <dxf>
      <fill>
        <patternFill patternType="solid">
          <fgColor indexed="64"/>
          <bgColor rgb="FF94B7BC"/>
        </patternFill>
      </fill>
    </dxf>
    <dxf>
      <fill>
        <patternFill patternType="solid">
          <fgColor indexed="64"/>
          <bgColor rgb="FF94B7BC"/>
        </patternFill>
      </fill>
    </dxf>
    <dxf>
      <fill>
        <patternFill patternType="solid">
          <fgColor indexed="64"/>
          <bgColor rgb="FF94B7BC"/>
        </patternFill>
      </fill>
    </dxf>
    <dxf>
      <fill>
        <patternFill patternType="solid">
          <fgColor indexed="64"/>
          <bgColor rgb="FF94B7BC"/>
        </patternFill>
      </fill>
    </dxf>
    <dxf>
      <fill>
        <patternFill patternType="solid">
          <fgColor indexed="64"/>
          <bgColor rgb="FF94B7BC"/>
        </patternFill>
      </fill>
    </dxf>
    <dxf>
      <fill>
        <patternFill patternType="solid">
          <fgColor indexed="64"/>
          <bgColor rgb="FF94B7BC"/>
        </patternFill>
      </fill>
    </dxf>
    <dxf>
      <fill>
        <patternFill patternType="solid">
          <fgColor indexed="64"/>
          <bgColor rgb="FF94B7BC"/>
        </patternFill>
      </fill>
    </dxf>
    <dxf>
      <fill>
        <patternFill patternType="solid">
          <fgColor indexed="64"/>
          <bgColor rgb="FF94B7BC"/>
        </patternFill>
      </fill>
    </dxf>
    <dxf>
      <fill>
        <patternFill patternType="solid">
          <fgColor indexed="64"/>
          <bgColor rgb="FF94B7BC"/>
        </patternFill>
      </fill>
    </dxf>
    <dxf>
      <fill>
        <patternFill patternType="solid">
          <fgColor indexed="64"/>
          <bgColor rgb="FF94B7BC"/>
        </patternFill>
      </fill>
    </dxf>
    <dxf>
      <fill>
        <patternFill patternType="solid">
          <fgColor indexed="64"/>
          <bgColor rgb="FF94B7BC"/>
        </patternFill>
      </fill>
    </dxf>
    <dxf>
      <fill>
        <patternFill patternType="solid">
          <fgColor indexed="64"/>
          <bgColor rgb="FF94B7BC"/>
        </patternFill>
      </fill>
    </dxf>
    <dxf>
      <fill>
        <patternFill patternType="solid">
          <fgColor indexed="64"/>
          <bgColor rgb="FF94B7BC"/>
        </patternFill>
      </fill>
    </dxf>
    <dxf>
      <fill>
        <patternFill patternType="solid">
          <fgColor indexed="64"/>
          <bgColor rgb="FF94B7BC"/>
        </patternFill>
      </fill>
    </dxf>
    <dxf>
      <fill>
        <patternFill patternType="solid">
          <fgColor indexed="64"/>
          <bgColor rgb="FF94B7BC"/>
        </patternFill>
      </fill>
    </dxf>
    <dxf>
      <fill>
        <patternFill patternType="solid">
          <fgColor indexed="64"/>
          <bgColor rgb="FF94B7BC"/>
        </patternFill>
      </fill>
    </dxf>
    <dxf>
      <fill>
        <patternFill patternType="solid">
          <fgColor indexed="64"/>
          <bgColor rgb="FF94B7BC"/>
        </patternFill>
      </fill>
    </dxf>
    <dxf>
      <fill>
        <patternFill patternType="solid">
          <fgColor indexed="64"/>
          <bgColor rgb="FF94B7BC"/>
        </patternFill>
      </fill>
    </dxf>
    <dxf>
      <fill>
        <patternFill patternType="solid">
          <fgColor indexed="64"/>
          <bgColor rgb="FF94B7BC"/>
        </patternFill>
      </fill>
    </dxf>
    <dxf>
      <fill>
        <patternFill patternType="solid">
          <fgColor indexed="64"/>
          <bgColor rgb="FF94B7BC"/>
        </patternFill>
      </fill>
    </dxf>
    <dxf>
      <fill>
        <patternFill patternType="solid">
          <fgColor indexed="64"/>
          <bgColor rgb="FF94B7BC"/>
        </patternFill>
      </fill>
    </dxf>
    <dxf>
      <fill>
        <patternFill patternType="solid">
          <fgColor indexed="64"/>
          <bgColor rgb="FF94B7BC"/>
        </patternFill>
      </fill>
    </dxf>
    <dxf>
      <fill>
        <patternFill patternType="solid">
          <fgColor indexed="64"/>
          <bgColor rgb="FF94B7BC"/>
        </patternFill>
      </fill>
    </dxf>
    <dxf>
      <numFmt numFmtId="1" formatCode="0"/>
    </dxf>
    <dxf>
      <numFmt numFmtId="166" formatCode="[hh]:mm"/>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xdr:col>
      <xdr:colOff>114300</xdr:colOff>
      <xdr:row>1</xdr:row>
      <xdr:rowOff>0</xdr:rowOff>
    </xdr:from>
    <xdr:to>
      <xdr:col>12</xdr:col>
      <xdr:colOff>0</xdr:colOff>
      <xdr:row>58</xdr:row>
      <xdr:rowOff>0</xdr:rowOff>
    </xdr:to>
    <xdr:grpSp>
      <xdr:nvGrpSpPr>
        <xdr:cNvPr id="72621" name="Groep 1">
          <a:extLst>
            <a:ext uri="{FF2B5EF4-FFF2-40B4-BE49-F238E27FC236}">
              <a16:creationId xmlns:a16="http://schemas.microsoft.com/office/drawing/2014/main" id="{F7A6F0D6-3669-029C-6C52-D6B2692998FD}"/>
            </a:ext>
          </a:extLst>
        </xdr:cNvPr>
        <xdr:cNvGrpSpPr>
          <a:grpSpLocks/>
        </xdr:cNvGrpSpPr>
      </xdr:nvGrpSpPr>
      <xdr:grpSpPr bwMode="auto">
        <a:xfrm>
          <a:off x="209550" y="180975"/>
          <a:ext cx="6486525" cy="10020300"/>
          <a:chOff x="209550" y="180975"/>
          <a:chExt cx="6486525" cy="10020300"/>
        </a:xfrm>
      </xdr:grpSpPr>
      <xdr:pic>
        <xdr:nvPicPr>
          <xdr:cNvPr id="72636" name="Picture 2">
            <a:extLst>
              <a:ext uri="{FF2B5EF4-FFF2-40B4-BE49-F238E27FC236}">
                <a16:creationId xmlns:a16="http://schemas.microsoft.com/office/drawing/2014/main" id="{335FFDDE-2A52-555F-2524-7650A5418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4755" b="15115"/>
          <a:stretch>
            <a:fillRect/>
          </a:stretch>
        </xdr:blipFill>
        <xdr:spPr bwMode="auto">
          <a:xfrm>
            <a:off x="4724400" y="7413326"/>
            <a:ext cx="1971675" cy="2787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2637" name="Picture 2">
            <a:extLst>
              <a:ext uri="{FF2B5EF4-FFF2-40B4-BE49-F238E27FC236}">
                <a16:creationId xmlns:a16="http://schemas.microsoft.com/office/drawing/2014/main" id="{CC9778C2-73B0-EB92-E763-1AECF4DE42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41161" y="180975"/>
            <a:ext cx="3704579" cy="74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2638" name="Picture 3">
            <a:extLst>
              <a:ext uri="{FF2B5EF4-FFF2-40B4-BE49-F238E27FC236}">
                <a16:creationId xmlns:a16="http://schemas.microsoft.com/office/drawing/2014/main" id="{87B93734-1BD6-7AA4-F0CE-39283B613BF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325" y="774218"/>
            <a:ext cx="1333395" cy="1306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2639" name="Afbeelding 19">
            <a:extLst>
              <a:ext uri="{FF2B5EF4-FFF2-40B4-BE49-F238E27FC236}">
                <a16:creationId xmlns:a16="http://schemas.microsoft.com/office/drawing/2014/main" id="{E7F66606-631A-4FB0-AD0A-4499E5505E8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9550" y="9667875"/>
            <a:ext cx="6404400" cy="53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266700</xdr:colOff>
      <xdr:row>63</xdr:row>
      <xdr:rowOff>76200</xdr:rowOff>
    </xdr:from>
    <xdr:to>
      <xdr:col>12</xdr:col>
      <xdr:colOff>0</xdr:colOff>
      <xdr:row>118</xdr:row>
      <xdr:rowOff>180975</xdr:rowOff>
    </xdr:to>
    <xdr:grpSp>
      <xdr:nvGrpSpPr>
        <xdr:cNvPr id="72622" name="Group 1">
          <a:extLst>
            <a:ext uri="{FF2B5EF4-FFF2-40B4-BE49-F238E27FC236}">
              <a16:creationId xmlns:a16="http://schemas.microsoft.com/office/drawing/2014/main" id="{24B5E4E1-C496-B3CC-0E1D-953D878E3ED3}"/>
            </a:ext>
          </a:extLst>
        </xdr:cNvPr>
        <xdr:cNvGrpSpPr>
          <a:grpSpLocks/>
        </xdr:cNvGrpSpPr>
      </xdr:nvGrpSpPr>
      <xdr:grpSpPr bwMode="auto">
        <a:xfrm>
          <a:off x="361950" y="11182350"/>
          <a:ext cx="6334125" cy="10125075"/>
          <a:chOff x="447600" y="424214"/>
          <a:chExt cx="6334200" cy="9746671"/>
        </a:xfrm>
      </xdr:grpSpPr>
      <xdr:pic>
        <xdr:nvPicPr>
          <xdr:cNvPr id="72634" name="Picture 2">
            <a:extLst>
              <a:ext uri="{FF2B5EF4-FFF2-40B4-BE49-F238E27FC236}">
                <a16:creationId xmlns:a16="http://schemas.microsoft.com/office/drawing/2014/main" id="{72DD19D8-1F6A-8B9D-0F90-490DC7EEBE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4755" b="15115"/>
          <a:stretch>
            <a:fillRect/>
          </a:stretch>
        </xdr:blipFill>
        <xdr:spPr bwMode="auto">
          <a:xfrm>
            <a:off x="4810125" y="7389585"/>
            <a:ext cx="1971675"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2635" name="Picture 3">
            <a:extLst>
              <a:ext uri="{FF2B5EF4-FFF2-40B4-BE49-F238E27FC236}">
                <a16:creationId xmlns:a16="http://schemas.microsoft.com/office/drawing/2014/main" id="{89CAF484-9B9A-B587-C302-E85CCF932B4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7600" y="424214"/>
            <a:ext cx="609675" cy="596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537482</xdr:colOff>
      <xdr:row>100</xdr:row>
      <xdr:rowOff>115888</xdr:rowOff>
    </xdr:from>
    <xdr:to>
      <xdr:col>10</xdr:col>
      <xdr:colOff>537501</xdr:colOff>
      <xdr:row>105</xdr:row>
      <xdr:rowOff>143130</xdr:rowOff>
    </xdr:to>
    <xdr:sp macro="" textlink="">
      <xdr:nvSpPr>
        <xdr:cNvPr id="28" name="TextBox 27">
          <a:extLst>
            <a:ext uri="{FF2B5EF4-FFF2-40B4-BE49-F238E27FC236}">
              <a16:creationId xmlns:a16="http://schemas.microsoft.com/office/drawing/2014/main" id="{73DE26A5-3C9A-A545-20A3-35BD9FF187A8}"/>
            </a:ext>
          </a:extLst>
        </xdr:cNvPr>
        <xdr:cNvSpPr txBox="1"/>
      </xdr:nvSpPr>
      <xdr:spPr>
        <a:xfrm>
          <a:off x="1238250" y="18002251"/>
          <a:ext cx="4781550" cy="914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lang="fr-FR" sz="1100">
              <a:solidFill>
                <a:schemeClr val="dk1"/>
              </a:solidFill>
              <a:effectLst/>
              <a:latin typeface="Cambria" panose="02040503050406030204" pitchFamily="18" charset="0"/>
              <a:ea typeface="+mn-ea"/>
              <a:cs typeface="+mn-cs"/>
            </a:rPr>
            <a:t>Si vous voulez - pour comparer - calculer les indemnités sous l'ancien statut de la gendarmerie, cliquez sur le choix actuel (Oui / Non), cliquez sur la flèche qui apparaît et sélectionnez "Oui". Cette option est réglée par défaut sur "non".</a:t>
          </a:r>
          <a:endParaRPr lang="nl-BE" sz="1100">
            <a:solidFill>
              <a:schemeClr val="dk1"/>
            </a:solidFill>
            <a:effectLst/>
            <a:latin typeface="Cambria" panose="02040503050406030204" pitchFamily="18" charset="0"/>
            <a:ea typeface="+mn-ea"/>
            <a:cs typeface="+mn-cs"/>
          </a:endParaRPr>
        </a:p>
      </xdr:txBody>
    </xdr:sp>
    <xdr:clientData/>
  </xdr:twoCellAnchor>
  <xdr:twoCellAnchor>
    <xdr:from>
      <xdr:col>1</xdr:col>
      <xdr:colOff>266700</xdr:colOff>
      <xdr:row>122</xdr:row>
      <xdr:rowOff>76200</xdr:rowOff>
    </xdr:from>
    <xdr:to>
      <xdr:col>12</xdr:col>
      <xdr:colOff>0</xdr:colOff>
      <xdr:row>178</xdr:row>
      <xdr:rowOff>0</xdr:rowOff>
    </xdr:to>
    <xdr:grpSp>
      <xdr:nvGrpSpPr>
        <xdr:cNvPr id="72624" name="Group 1">
          <a:extLst>
            <a:ext uri="{FF2B5EF4-FFF2-40B4-BE49-F238E27FC236}">
              <a16:creationId xmlns:a16="http://schemas.microsoft.com/office/drawing/2014/main" id="{8322A19A-529B-17B9-0C79-494BBF16779B}"/>
            </a:ext>
          </a:extLst>
        </xdr:cNvPr>
        <xdr:cNvGrpSpPr>
          <a:grpSpLocks/>
        </xdr:cNvGrpSpPr>
      </xdr:nvGrpSpPr>
      <xdr:grpSpPr bwMode="auto">
        <a:xfrm>
          <a:off x="361950" y="21926550"/>
          <a:ext cx="6334125" cy="10086975"/>
          <a:chOff x="447600" y="424214"/>
          <a:chExt cx="6334200" cy="9747200"/>
        </a:xfrm>
      </xdr:grpSpPr>
      <xdr:pic>
        <xdr:nvPicPr>
          <xdr:cNvPr id="72632" name="Picture 2">
            <a:extLst>
              <a:ext uri="{FF2B5EF4-FFF2-40B4-BE49-F238E27FC236}">
                <a16:creationId xmlns:a16="http://schemas.microsoft.com/office/drawing/2014/main" id="{74FA6230-7437-8A02-A291-744454C943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4755" b="15115"/>
          <a:stretch>
            <a:fillRect/>
          </a:stretch>
        </xdr:blipFill>
        <xdr:spPr bwMode="auto">
          <a:xfrm>
            <a:off x="4810125" y="7390114"/>
            <a:ext cx="1971675"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2633" name="Picture 3">
            <a:extLst>
              <a:ext uri="{FF2B5EF4-FFF2-40B4-BE49-F238E27FC236}">
                <a16:creationId xmlns:a16="http://schemas.microsoft.com/office/drawing/2014/main" id="{4E20BAA0-91FA-26E2-5156-176A89F2892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7600" y="424214"/>
            <a:ext cx="609675" cy="596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565150</xdr:colOff>
      <xdr:row>164</xdr:row>
      <xdr:rowOff>9524</xdr:rowOff>
    </xdr:from>
    <xdr:to>
      <xdr:col>11</xdr:col>
      <xdr:colOff>264025</xdr:colOff>
      <xdr:row>169</xdr:row>
      <xdr:rowOff>171449</xdr:rowOff>
    </xdr:to>
    <xdr:sp macro="" textlink="">
      <xdr:nvSpPr>
        <xdr:cNvPr id="34" name="TextBox 33">
          <a:extLst>
            <a:ext uri="{FF2B5EF4-FFF2-40B4-BE49-F238E27FC236}">
              <a16:creationId xmlns:a16="http://schemas.microsoft.com/office/drawing/2014/main" id="{8EB34FCB-6BC6-49B1-DE4E-0064AA61A0F1}"/>
            </a:ext>
          </a:extLst>
        </xdr:cNvPr>
        <xdr:cNvSpPr txBox="1"/>
      </xdr:nvSpPr>
      <xdr:spPr>
        <a:xfrm>
          <a:off x="1257300" y="29489399"/>
          <a:ext cx="5105400" cy="1057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lang="fr-BE" sz="1100">
              <a:solidFill>
                <a:schemeClr val="dk1"/>
              </a:solidFill>
              <a:effectLst/>
              <a:latin typeface="Cambria" panose="02040503050406030204" pitchFamily="18" charset="0"/>
              <a:ea typeface="+mn-ea"/>
              <a:cs typeface="+mn-cs"/>
            </a:rPr>
            <a:t>À la fin de la période de référence, remplissez ici manuellement les heures supplémentaires ou le déficit à transférer à la période de référence suivante.</a:t>
          </a:r>
          <a:endParaRPr lang="nl-BE" sz="1100">
            <a:solidFill>
              <a:sysClr val="windowText" lastClr="000000"/>
            </a:solidFill>
            <a:effectLst/>
            <a:latin typeface="Cambria" panose="02040503050406030204" pitchFamily="18" charset="0"/>
            <a:ea typeface="+mn-ea"/>
            <a:cs typeface="+mn-cs"/>
          </a:endParaRPr>
        </a:p>
      </xdr:txBody>
    </xdr:sp>
    <xdr:clientData/>
  </xdr:twoCellAnchor>
  <xdr:twoCellAnchor>
    <xdr:from>
      <xdr:col>1</xdr:col>
      <xdr:colOff>266700</xdr:colOff>
      <xdr:row>181</xdr:row>
      <xdr:rowOff>76200</xdr:rowOff>
    </xdr:from>
    <xdr:to>
      <xdr:col>12</xdr:col>
      <xdr:colOff>0</xdr:colOff>
      <xdr:row>236</xdr:row>
      <xdr:rowOff>171450</xdr:rowOff>
    </xdr:to>
    <xdr:grpSp>
      <xdr:nvGrpSpPr>
        <xdr:cNvPr id="72626" name="Group 1">
          <a:extLst>
            <a:ext uri="{FF2B5EF4-FFF2-40B4-BE49-F238E27FC236}">
              <a16:creationId xmlns:a16="http://schemas.microsoft.com/office/drawing/2014/main" id="{6DCB830B-70D9-95C7-08A0-9C2841C4A78D}"/>
            </a:ext>
          </a:extLst>
        </xdr:cNvPr>
        <xdr:cNvGrpSpPr>
          <a:grpSpLocks/>
        </xdr:cNvGrpSpPr>
      </xdr:nvGrpSpPr>
      <xdr:grpSpPr bwMode="auto">
        <a:xfrm>
          <a:off x="361950" y="32632650"/>
          <a:ext cx="6334125" cy="10067925"/>
          <a:chOff x="447600" y="424214"/>
          <a:chExt cx="6334200" cy="9738164"/>
        </a:xfrm>
      </xdr:grpSpPr>
      <xdr:pic>
        <xdr:nvPicPr>
          <xdr:cNvPr id="72630" name="Picture 2">
            <a:extLst>
              <a:ext uri="{FF2B5EF4-FFF2-40B4-BE49-F238E27FC236}">
                <a16:creationId xmlns:a16="http://schemas.microsoft.com/office/drawing/2014/main" id="{5A8252DE-4295-290E-8BB3-0A1714C54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4755" b="15115"/>
          <a:stretch>
            <a:fillRect/>
          </a:stretch>
        </xdr:blipFill>
        <xdr:spPr bwMode="auto">
          <a:xfrm>
            <a:off x="4810125" y="7381078"/>
            <a:ext cx="1971675"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2631" name="Picture 3">
            <a:extLst>
              <a:ext uri="{FF2B5EF4-FFF2-40B4-BE49-F238E27FC236}">
                <a16:creationId xmlns:a16="http://schemas.microsoft.com/office/drawing/2014/main" id="{C24B8B1B-E165-FAA0-FEA2-ED3E15BEE6D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7600" y="424214"/>
            <a:ext cx="609675" cy="596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537482</xdr:colOff>
      <xdr:row>40</xdr:row>
      <xdr:rowOff>152399</xdr:rowOff>
    </xdr:from>
    <xdr:to>
      <xdr:col>10</xdr:col>
      <xdr:colOff>537501</xdr:colOff>
      <xdr:row>47</xdr:row>
      <xdr:rowOff>94635</xdr:rowOff>
    </xdr:to>
    <xdr:sp macro="" textlink="">
      <xdr:nvSpPr>
        <xdr:cNvPr id="19" name="TextBox 18">
          <a:extLst>
            <a:ext uri="{FF2B5EF4-FFF2-40B4-BE49-F238E27FC236}">
              <a16:creationId xmlns:a16="http://schemas.microsoft.com/office/drawing/2014/main" id="{28354CA2-122A-2AC0-7FB8-9AE29A41D583}"/>
            </a:ext>
          </a:extLst>
        </xdr:cNvPr>
        <xdr:cNvSpPr txBox="1"/>
      </xdr:nvSpPr>
      <xdr:spPr>
        <a:xfrm>
          <a:off x="1238250" y="7096124"/>
          <a:ext cx="4781550" cy="1209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lang="fr-FR" sz="1100">
              <a:solidFill>
                <a:schemeClr val="dk1"/>
              </a:solidFill>
              <a:effectLst/>
              <a:latin typeface="Cambria" panose="02040503050406030204" pitchFamily="18" charset="0"/>
              <a:ea typeface="+mn-ea"/>
              <a:cs typeface="+mn-cs"/>
            </a:rPr>
            <a:t>Dans l'onglet "Types de jours</a:t>
          </a:r>
          <a:r>
            <a:rPr lang="fr-BE" sz="1100">
              <a:solidFill>
                <a:schemeClr val="dk1"/>
              </a:solidFill>
              <a:effectLst/>
              <a:latin typeface="Cambria" panose="02040503050406030204" pitchFamily="18" charset="0"/>
              <a:ea typeface="+mn-ea"/>
              <a:cs typeface="+mn-cs"/>
            </a:rPr>
            <a:t>" </a:t>
          </a:r>
          <a:r>
            <a:rPr lang="fr-FR" sz="1100">
              <a:solidFill>
                <a:schemeClr val="dk1"/>
              </a:solidFill>
              <a:effectLst/>
              <a:latin typeface="Cambria" panose="02040503050406030204" pitchFamily="18" charset="0"/>
              <a:ea typeface="+mn-ea"/>
              <a:cs typeface="+mn-cs"/>
            </a:rPr>
            <a:t>vous trouverez un certain nombre de types standard de jours que vous pouvez utiliser pour faciliter l’enregistrement de vos prestations. Si les types prédéfinis ne sont pas suffisantes, vous pouvez toujours ajouter vous-même d’autres types de jours dans le tableau bleu.</a:t>
          </a:r>
        </a:p>
        <a:p>
          <a:pPr>
            <a:lnSpc>
              <a:spcPts val="1400"/>
            </a:lnSpc>
          </a:pPr>
          <a:r>
            <a:rPr lang="fr-FR" sz="1100">
              <a:solidFill>
                <a:schemeClr val="dk1"/>
              </a:solidFill>
              <a:effectLst/>
              <a:latin typeface="Cambria" panose="02040503050406030204" pitchFamily="18" charset="0"/>
              <a:ea typeface="+mn-ea"/>
              <a:cs typeface="+mn-cs"/>
            </a:rPr>
            <a:t>À gauche vous mettez un nom (unique), à droite le nombre d'heures qui correspondent.</a:t>
          </a:r>
        </a:p>
      </xdr:txBody>
    </xdr:sp>
    <xdr:clientData/>
  </xdr:twoCellAnchor>
  <xdr:twoCellAnchor>
    <xdr:from>
      <xdr:col>2</xdr:col>
      <xdr:colOff>537482</xdr:colOff>
      <xdr:row>46</xdr:row>
      <xdr:rowOff>119062</xdr:rowOff>
    </xdr:from>
    <xdr:to>
      <xdr:col>10</xdr:col>
      <xdr:colOff>500317</xdr:colOff>
      <xdr:row>52</xdr:row>
      <xdr:rowOff>168374</xdr:rowOff>
    </xdr:to>
    <xdr:sp macro="" textlink="">
      <xdr:nvSpPr>
        <xdr:cNvPr id="20" name="TextBox 19">
          <a:extLst>
            <a:ext uri="{FF2B5EF4-FFF2-40B4-BE49-F238E27FC236}">
              <a16:creationId xmlns:a16="http://schemas.microsoft.com/office/drawing/2014/main" id="{FC95310B-A1ED-00DE-60F3-06526FC0897C}"/>
            </a:ext>
          </a:extLst>
        </xdr:cNvPr>
        <xdr:cNvSpPr txBox="1"/>
      </xdr:nvSpPr>
      <xdr:spPr>
        <a:xfrm>
          <a:off x="1228725" y="8153400"/>
          <a:ext cx="4781550" cy="1133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lang="fr-FR" sz="1100">
              <a:solidFill>
                <a:schemeClr val="dk1"/>
              </a:solidFill>
              <a:effectLst/>
              <a:latin typeface="Cambria" panose="02040503050406030204" pitchFamily="18" charset="0"/>
              <a:ea typeface="+mn-ea"/>
              <a:cs typeface="+mn-cs"/>
            </a:rPr>
            <a:t>Par exemple, pour ajouter un autre type de congé, choisissez un nom qui inclut "Congé". Les types de jours supplémentaires que vous ajoutez à la liste seront automatiquement ajoutés à la liste de sélection dans chaque onglet de mois.</a:t>
          </a:r>
        </a:p>
      </xdr:txBody>
    </xdr:sp>
    <xdr:clientData/>
  </xdr:twoCellAnchor>
  <xdr:twoCellAnchor>
    <xdr:from>
      <xdr:col>2</xdr:col>
      <xdr:colOff>537482</xdr:colOff>
      <xdr:row>104</xdr:row>
      <xdr:rowOff>100013</xdr:rowOff>
    </xdr:from>
    <xdr:to>
      <xdr:col>10</xdr:col>
      <xdr:colOff>500317</xdr:colOff>
      <xdr:row>109</xdr:row>
      <xdr:rowOff>175663</xdr:rowOff>
    </xdr:to>
    <xdr:sp macro="" textlink="">
      <xdr:nvSpPr>
        <xdr:cNvPr id="21" name="TextBox 20">
          <a:extLst>
            <a:ext uri="{FF2B5EF4-FFF2-40B4-BE49-F238E27FC236}">
              <a16:creationId xmlns:a16="http://schemas.microsoft.com/office/drawing/2014/main" id="{5F734F09-5544-B56E-C7FF-7386688D6853}"/>
            </a:ext>
          </a:extLst>
        </xdr:cNvPr>
        <xdr:cNvSpPr txBox="1"/>
      </xdr:nvSpPr>
      <xdr:spPr>
        <a:xfrm>
          <a:off x="1228725" y="18697576"/>
          <a:ext cx="4781550" cy="971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lang="fr-FR" sz="1100">
              <a:solidFill>
                <a:schemeClr val="dk1"/>
              </a:solidFill>
              <a:effectLst/>
              <a:latin typeface="Cambria" panose="02040503050406030204" pitchFamily="18" charset="0"/>
              <a:ea typeface="+mn-ea"/>
              <a:cs typeface="+mn-cs"/>
            </a:rPr>
            <a:t>Cette option est particulièrement utile pour les membres du personnel qui ont choisi de préserver l’ancienne rémunération pour certaines prestations. </a:t>
          </a:r>
          <a:r>
            <a:rPr lang="fr-BE" sz="1100">
              <a:solidFill>
                <a:schemeClr val="dk1"/>
              </a:solidFill>
              <a:effectLst/>
              <a:latin typeface="Cambria" panose="02040503050406030204" pitchFamily="18" charset="0"/>
              <a:ea typeface="+mn-ea"/>
              <a:cs typeface="+mn-cs"/>
            </a:rPr>
            <a:t>En faisant suivi de la différence mensuelle il est possible de vérifier s’il est plus avantageux de passer à la rémunération du nouveau statut.</a:t>
          </a:r>
          <a:endParaRPr lang="nl-BE" sz="1100">
            <a:solidFill>
              <a:schemeClr val="dk1"/>
            </a:solidFill>
            <a:effectLst/>
            <a:latin typeface="Cambria" panose="02040503050406030204" pitchFamily="18" charset="0"/>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57150</xdr:colOff>
      <xdr:row>0</xdr:row>
      <xdr:rowOff>47625</xdr:rowOff>
    </xdr:from>
    <xdr:to>
      <xdr:col>2</xdr:col>
      <xdr:colOff>390525</xdr:colOff>
      <xdr:row>4</xdr:row>
      <xdr:rowOff>104775</xdr:rowOff>
    </xdr:to>
    <xdr:pic>
      <xdr:nvPicPr>
        <xdr:cNvPr id="28520" name="Picture 1">
          <a:extLst>
            <a:ext uri="{FF2B5EF4-FFF2-40B4-BE49-F238E27FC236}">
              <a16:creationId xmlns:a16="http://schemas.microsoft.com/office/drawing/2014/main" id="{820DA399-FDFD-71CB-E6F3-783C06A458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7625"/>
          <a:ext cx="6000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57150</xdr:colOff>
      <xdr:row>0</xdr:row>
      <xdr:rowOff>47625</xdr:rowOff>
    </xdr:from>
    <xdr:to>
      <xdr:col>2</xdr:col>
      <xdr:colOff>390525</xdr:colOff>
      <xdr:row>4</xdr:row>
      <xdr:rowOff>104775</xdr:rowOff>
    </xdr:to>
    <xdr:pic>
      <xdr:nvPicPr>
        <xdr:cNvPr id="30560" name="Picture 1">
          <a:extLst>
            <a:ext uri="{FF2B5EF4-FFF2-40B4-BE49-F238E27FC236}">
              <a16:creationId xmlns:a16="http://schemas.microsoft.com/office/drawing/2014/main" id="{1B6B2A0E-FB17-9F57-5596-B5A13889AE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7625"/>
          <a:ext cx="6000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57150</xdr:colOff>
      <xdr:row>0</xdr:row>
      <xdr:rowOff>47625</xdr:rowOff>
    </xdr:from>
    <xdr:to>
      <xdr:col>2</xdr:col>
      <xdr:colOff>390525</xdr:colOff>
      <xdr:row>4</xdr:row>
      <xdr:rowOff>104775</xdr:rowOff>
    </xdr:to>
    <xdr:pic>
      <xdr:nvPicPr>
        <xdr:cNvPr id="31585" name="Picture 1">
          <a:extLst>
            <a:ext uri="{FF2B5EF4-FFF2-40B4-BE49-F238E27FC236}">
              <a16:creationId xmlns:a16="http://schemas.microsoft.com/office/drawing/2014/main" id="{007AA8DF-CAC7-1BAF-88D8-5113FC3C11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7625"/>
          <a:ext cx="6000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57150</xdr:colOff>
      <xdr:row>0</xdr:row>
      <xdr:rowOff>47625</xdr:rowOff>
    </xdr:from>
    <xdr:to>
      <xdr:col>2</xdr:col>
      <xdr:colOff>390525</xdr:colOff>
      <xdr:row>4</xdr:row>
      <xdr:rowOff>104775</xdr:rowOff>
    </xdr:to>
    <xdr:pic>
      <xdr:nvPicPr>
        <xdr:cNvPr id="32600" name="Picture 1">
          <a:extLst>
            <a:ext uri="{FF2B5EF4-FFF2-40B4-BE49-F238E27FC236}">
              <a16:creationId xmlns:a16="http://schemas.microsoft.com/office/drawing/2014/main" id="{8F90F74C-5029-3BEA-53E5-164233689F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7625"/>
          <a:ext cx="6000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57150</xdr:colOff>
      <xdr:row>0</xdr:row>
      <xdr:rowOff>47625</xdr:rowOff>
    </xdr:from>
    <xdr:to>
      <xdr:col>2</xdr:col>
      <xdr:colOff>390525</xdr:colOff>
      <xdr:row>4</xdr:row>
      <xdr:rowOff>104775</xdr:rowOff>
    </xdr:to>
    <xdr:pic>
      <xdr:nvPicPr>
        <xdr:cNvPr id="33616" name="Picture 1">
          <a:extLst>
            <a:ext uri="{FF2B5EF4-FFF2-40B4-BE49-F238E27FC236}">
              <a16:creationId xmlns:a16="http://schemas.microsoft.com/office/drawing/2014/main" id="{2FD05EC7-C363-B5AB-FBDE-C34AEA73AF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7625"/>
          <a:ext cx="6000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57150</xdr:colOff>
      <xdr:row>0</xdr:row>
      <xdr:rowOff>47625</xdr:rowOff>
    </xdr:from>
    <xdr:to>
      <xdr:col>2</xdr:col>
      <xdr:colOff>390525</xdr:colOff>
      <xdr:row>4</xdr:row>
      <xdr:rowOff>104775</xdr:rowOff>
    </xdr:to>
    <xdr:pic>
      <xdr:nvPicPr>
        <xdr:cNvPr id="34637" name="Picture 1">
          <a:extLst>
            <a:ext uri="{FF2B5EF4-FFF2-40B4-BE49-F238E27FC236}">
              <a16:creationId xmlns:a16="http://schemas.microsoft.com/office/drawing/2014/main" id="{828EBAE7-DCD3-44E7-484C-CA48A8C0F3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7625"/>
          <a:ext cx="6000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1</xdr:row>
      <xdr:rowOff>9525</xdr:rowOff>
    </xdr:from>
    <xdr:to>
      <xdr:col>12</xdr:col>
      <xdr:colOff>0</xdr:colOff>
      <xdr:row>61</xdr:row>
      <xdr:rowOff>0</xdr:rowOff>
    </xdr:to>
    <xdr:grpSp>
      <xdr:nvGrpSpPr>
        <xdr:cNvPr id="67131" name="Groep 3">
          <a:extLst>
            <a:ext uri="{FF2B5EF4-FFF2-40B4-BE49-F238E27FC236}">
              <a16:creationId xmlns:a16="http://schemas.microsoft.com/office/drawing/2014/main" id="{A1BBF3C2-C3BD-9C6B-3507-5876EE05F252}"/>
            </a:ext>
          </a:extLst>
        </xdr:cNvPr>
        <xdr:cNvGrpSpPr>
          <a:grpSpLocks/>
        </xdr:cNvGrpSpPr>
      </xdr:nvGrpSpPr>
      <xdr:grpSpPr bwMode="auto">
        <a:xfrm>
          <a:off x="228600" y="190500"/>
          <a:ext cx="6467475" cy="10382250"/>
          <a:chOff x="228600" y="180975"/>
          <a:chExt cx="6467475" cy="10382250"/>
        </a:xfrm>
      </xdr:grpSpPr>
      <xdr:pic>
        <xdr:nvPicPr>
          <xdr:cNvPr id="67132" name="Picture 2">
            <a:extLst>
              <a:ext uri="{FF2B5EF4-FFF2-40B4-BE49-F238E27FC236}">
                <a16:creationId xmlns:a16="http://schemas.microsoft.com/office/drawing/2014/main" id="{562B0742-DAC5-002F-6A94-71D10E5A6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4755" b="15115"/>
          <a:stretch>
            <a:fillRect/>
          </a:stretch>
        </xdr:blipFill>
        <xdr:spPr bwMode="auto">
          <a:xfrm>
            <a:off x="4724400" y="7621290"/>
            <a:ext cx="1971675" cy="29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7133" name="Picture 2">
            <a:extLst>
              <a:ext uri="{FF2B5EF4-FFF2-40B4-BE49-F238E27FC236}">
                <a16:creationId xmlns:a16="http://schemas.microsoft.com/office/drawing/2014/main" id="{B9442EB8-74A2-81D2-552C-AFB957B263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41161" y="180975"/>
            <a:ext cx="3704579" cy="783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7134" name="Picture 3">
            <a:extLst>
              <a:ext uri="{FF2B5EF4-FFF2-40B4-BE49-F238E27FC236}">
                <a16:creationId xmlns:a16="http://schemas.microsoft.com/office/drawing/2014/main" id="{511A66EE-A1AE-DC40-E841-362A0E4508F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325" y="806984"/>
            <a:ext cx="1333395" cy="13790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7135" name="Afbeelding 2">
            <a:extLst>
              <a:ext uri="{FF2B5EF4-FFF2-40B4-BE49-F238E27FC236}">
                <a16:creationId xmlns:a16="http://schemas.microsoft.com/office/drawing/2014/main" id="{B3500756-2DB8-294B-790D-747676810F3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8600" y="10029826"/>
            <a:ext cx="6404400" cy="53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133350</xdr:colOff>
      <xdr:row>1</xdr:row>
      <xdr:rowOff>9525</xdr:rowOff>
    </xdr:from>
    <xdr:to>
      <xdr:col>12</xdr:col>
      <xdr:colOff>0</xdr:colOff>
      <xdr:row>52</xdr:row>
      <xdr:rowOff>0</xdr:rowOff>
    </xdr:to>
    <xdr:grpSp>
      <xdr:nvGrpSpPr>
        <xdr:cNvPr id="68155" name="Groep 1">
          <a:extLst>
            <a:ext uri="{FF2B5EF4-FFF2-40B4-BE49-F238E27FC236}">
              <a16:creationId xmlns:a16="http://schemas.microsoft.com/office/drawing/2014/main" id="{1A5D0AC8-66C0-C4CE-3DC1-30FDDACFCF0B}"/>
            </a:ext>
          </a:extLst>
        </xdr:cNvPr>
        <xdr:cNvGrpSpPr>
          <a:grpSpLocks/>
        </xdr:cNvGrpSpPr>
      </xdr:nvGrpSpPr>
      <xdr:grpSpPr bwMode="auto">
        <a:xfrm>
          <a:off x="228600" y="190500"/>
          <a:ext cx="6467475" cy="9277350"/>
          <a:chOff x="228600" y="190500"/>
          <a:chExt cx="6467475" cy="9277350"/>
        </a:xfrm>
      </xdr:grpSpPr>
      <xdr:pic>
        <xdr:nvPicPr>
          <xdr:cNvPr id="68156" name="Picture 2">
            <a:extLst>
              <a:ext uri="{FF2B5EF4-FFF2-40B4-BE49-F238E27FC236}">
                <a16:creationId xmlns:a16="http://schemas.microsoft.com/office/drawing/2014/main" id="{FF8EE225-791B-E3FF-0773-13BA931DBA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4755" b="15115"/>
          <a:stretch>
            <a:fillRect/>
          </a:stretch>
        </xdr:blipFill>
        <xdr:spPr bwMode="auto">
          <a:xfrm>
            <a:off x="4724400" y="6631273"/>
            <a:ext cx="1971675" cy="2836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8157" name="Picture 2">
            <a:extLst>
              <a:ext uri="{FF2B5EF4-FFF2-40B4-BE49-F238E27FC236}">
                <a16:creationId xmlns:a16="http://schemas.microsoft.com/office/drawing/2014/main" id="{B575F286-3E11-2D91-AEA2-5524D49AAE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41161" y="190500"/>
            <a:ext cx="3704579" cy="755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8158" name="Picture 3">
            <a:extLst>
              <a:ext uri="{FF2B5EF4-FFF2-40B4-BE49-F238E27FC236}">
                <a16:creationId xmlns:a16="http://schemas.microsoft.com/office/drawing/2014/main" id="{84C66A57-074E-A0E0-70E9-54DB7B35B78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325" y="784565"/>
            <a:ext cx="1333395" cy="1329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8159" name="Afbeelding 11">
            <a:extLst>
              <a:ext uri="{FF2B5EF4-FFF2-40B4-BE49-F238E27FC236}">
                <a16:creationId xmlns:a16="http://schemas.microsoft.com/office/drawing/2014/main" id="{AE2E7698-C17D-7478-3B8D-6E3D5E54F3C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8600" y="8934450"/>
            <a:ext cx="6404400" cy="53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0</xdr:row>
      <xdr:rowOff>47625</xdr:rowOff>
    </xdr:from>
    <xdr:to>
      <xdr:col>2</xdr:col>
      <xdr:colOff>390525</xdr:colOff>
      <xdr:row>4</xdr:row>
      <xdr:rowOff>104775</xdr:rowOff>
    </xdr:to>
    <xdr:pic>
      <xdr:nvPicPr>
        <xdr:cNvPr id="70753" name="Picture 1">
          <a:extLst>
            <a:ext uri="{FF2B5EF4-FFF2-40B4-BE49-F238E27FC236}">
              <a16:creationId xmlns:a16="http://schemas.microsoft.com/office/drawing/2014/main" id="{A38307E4-F629-2FF7-177E-CE092A8364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7625"/>
          <a:ext cx="6000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0</xdr:row>
      <xdr:rowOff>47625</xdr:rowOff>
    </xdr:from>
    <xdr:to>
      <xdr:col>2</xdr:col>
      <xdr:colOff>390525</xdr:colOff>
      <xdr:row>4</xdr:row>
      <xdr:rowOff>104775</xdr:rowOff>
    </xdr:to>
    <xdr:pic>
      <xdr:nvPicPr>
        <xdr:cNvPr id="21385" name="Picture 1">
          <a:extLst>
            <a:ext uri="{FF2B5EF4-FFF2-40B4-BE49-F238E27FC236}">
              <a16:creationId xmlns:a16="http://schemas.microsoft.com/office/drawing/2014/main" id="{A9589698-D622-3A61-69C1-284CB0A17D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7625"/>
          <a:ext cx="6000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57150</xdr:colOff>
      <xdr:row>0</xdr:row>
      <xdr:rowOff>47625</xdr:rowOff>
    </xdr:from>
    <xdr:to>
      <xdr:col>2</xdr:col>
      <xdr:colOff>390525</xdr:colOff>
      <xdr:row>4</xdr:row>
      <xdr:rowOff>104775</xdr:rowOff>
    </xdr:to>
    <xdr:pic>
      <xdr:nvPicPr>
        <xdr:cNvPr id="22404" name="Picture 1">
          <a:extLst>
            <a:ext uri="{FF2B5EF4-FFF2-40B4-BE49-F238E27FC236}">
              <a16:creationId xmlns:a16="http://schemas.microsoft.com/office/drawing/2014/main" id="{C93D7406-FF55-0B14-EEA5-3435A817FC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7625"/>
          <a:ext cx="6000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57150</xdr:colOff>
      <xdr:row>0</xdr:row>
      <xdr:rowOff>47625</xdr:rowOff>
    </xdr:from>
    <xdr:to>
      <xdr:col>2</xdr:col>
      <xdr:colOff>390525</xdr:colOff>
      <xdr:row>4</xdr:row>
      <xdr:rowOff>104775</xdr:rowOff>
    </xdr:to>
    <xdr:pic>
      <xdr:nvPicPr>
        <xdr:cNvPr id="23426" name="Picture 1">
          <a:extLst>
            <a:ext uri="{FF2B5EF4-FFF2-40B4-BE49-F238E27FC236}">
              <a16:creationId xmlns:a16="http://schemas.microsoft.com/office/drawing/2014/main" id="{855B3682-AB37-B780-0E9B-53732FB0B4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7625"/>
          <a:ext cx="6000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57150</xdr:colOff>
      <xdr:row>0</xdr:row>
      <xdr:rowOff>47625</xdr:rowOff>
    </xdr:from>
    <xdr:to>
      <xdr:col>2</xdr:col>
      <xdr:colOff>390525</xdr:colOff>
      <xdr:row>4</xdr:row>
      <xdr:rowOff>104775</xdr:rowOff>
    </xdr:to>
    <xdr:pic>
      <xdr:nvPicPr>
        <xdr:cNvPr id="24438" name="Picture 1">
          <a:extLst>
            <a:ext uri="{FF2B5EF4-FFF2-40B4-BE49-F238E27FC236}">
              <a16:creationId xmlns:a16="http://schemas.microsoft.com/office/drawing/2014/main" id="{2B069FEB-7693-DD02-74E3-AFD232437D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7625"/>
          <a:ext cx="6000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57150</xdr:colOff>
      <xdr:row>0</xdr:row>
      <xdr:rowOff>47625</xdr:rowOff>
    </xdr:from>
    <xdr:to>
      <xdr:col>2</xdr:col>
      <xdr:colOff>390525</xdr:colOff>
      <xdr:row>4</xdr:row>
      <xdr:rowOff>104775</xdr:rowOff>
    </xdr:to>
    <xdr:pic>
      <xdr:nvPicPr>
        <xdr:cNvPr id="25453" name="Picture 1">
          <a:extLst>
            <a:ext uri="{FF2B5EF4-FFF2-40B4-BE49-F238E27FC236}">
              <a16:creationId xmlns:a16="http://schemas.microsoft.com/office/drawing/2014/main" id="{F6388BE7-0395-0E0A-9B07-E7A40BC393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7625"/>
          <a:ext cx="6000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2:O238"/>
  <sheetViews>
    <sheetView zoomScaleNormal="100" workbookViewId="0">
      <selection activeCell="E24" sqref="E24"/>
    </sheetView>
  </sheetViews>
  <sheetFormatPr defaultRowHeight="14.25" x14ac:dyDescent="0.2"/>
  <cols>
    <col min="1" max="1" width="1.42578125" style="1" customWidth="1"/>
    <col min="2" max="12" width="9" style="1" customWidth="1"/>
    <col min="13" max="256" width="11.42578125" style="1" customWidth="1"/>
    <col min="257" max="16384" width="9.140625" style="1"/>
  </cols>
  <sheetData>
    <row r="2" spans="2:13" x14ac:dyDescent="0.2">
      <c r="B2" s="15"/>
      <c r="C2" s="13"/>
      <c r="D2" s="13"/>
      <c r="E2" s="13"/>
      <c r="F2" s="13"/>
      <c r="G2" s="13"/>
      <c r="H2" s="13"/>
      <c r="I2" s="13"/>
      <c r="J2" s="13"/>
      <c r="K2" s="13"/>
      <c r="L2" s="14"/>
      <c r="M2" s="16"/>
    </row>
    <row r="3" spans="2:13" x14ac:dyDescent="0.2">
      <c r="B3" s="16"/>
      <c r="C3" s="3"/>
      <c r="L3" s="4"/>
      <c r="M3" s="16"/>
    </row>
    <row r="4" spans="2:13" x14ac:dyDescent="0.2">
      <c r="B4" s="16"/>
      <c r="F4" s="5"/>
      <c r="G4" s="5"/>
      <c r="H4" s="5"/>
      <c r="I4" s="5"/>
      <c r="L4" s="4"/>
      <c r="M4" s="16"/>
    </row>
    <row r="5" spans="2:13" x14ac:dyDescent="0.2">
      <c r="B5" s="16"/>
      <c r="F5" s="5"/>
      <c r="G5" s="5"/>
      <c r="H5" s="5"/>
      <c r="I5" s="5"/>
      <c r="L5" s="4"/>
      <c r="M5" s="16"/>
    </row>
    <row r="6" spans="2:13" x14ac:dyDescent="0.2">
      <c r="B6" s="16"/>
      <c r="F6" s="5"/>
      <c r="G6" s="5"/>
      <c r="H6" s="5"/>
      <c r="I6" s="5"/>
      <c r="L6" s="4"/>
      <c r="M6" s="16"/>
    </row>
    <row r="7" spans="2:13" x14ac:dyDescent="0.2">
      <c r="B7" s="16"/>
      <c r="L7" s="4"/>
      <c r="M7" s="16"/>
    </row>
    <row r="8" spans="2:13" ht="14.25" customHeight="1" x14ac:dyDescent="0.2">
      <c r="B8" s="16"/>
      <c r="G8" s="295" t="str">
        <f>CONCATENATE(Configuration!$G$8," - Instructions")</f>
        <v>OTT Tool 2024 - Instructions</v>
      </c>
      <c r="H8" s="295"/>
      <c r="I8" s="295"/>
      <c r="J8" s="295"/>
      <c r="L8" s="4"/>
      <c r="M8" s="16"/>
    </row>
    <row r="9" spans="2:13" ht="14.25" customHeight="1" x14ac:dyDescent="0.2">
      <c r="B9" s="16"/>
      <c r="G9" s="295"/>
      <c r="H9" s="295"/>
      <c r="I9" s="295"/>
      <c r="J9" s="295"/>
      <c r="L9" s="4"/>
      <c r="M9" s="16"/>
    </row>
    <row r="10" spans="2:13" ht="15.75" x14ac:dyDescent="0.2">
      <c r="B10" s="16"/>
      <c r="G10" s="69"/>
      <c r="H10" s="69"/>
      <c r="I10" s="69"/>
      <c r="J10" s="69"/>
      <c r="L10" s="4"/>
      <c r="M10" s="16"/>
    </row>
    <row r="11" spans="2:13" ht="15.75" x14ac:dyDescent="0.2">
      <c r="B11" s="16"/>
      <c r="G11" s="69"/>
      <c r="H11" s="69"/>
      <c r="I11" s="69"/>
      <c r="J11" s="69"/>
      <c r="L11" s="4"/>
      <c r="M11" s="16"/>
    </row>
    <row r="12" spans="2:13" ht="15.75" x14ac:dyDescent="0.2">
      <c r="B12" s="16"/>
      <c r="G12" s="69"/>
      <c r="H12" s="69"/>
      <c r="I12" s="69"/>
      <c r="J12" s="69"/>
      <c r="L12" s="4"/>
      <c r="M12" s="16"/>
    </row>
    <row r="13" spans="2:13" x14ac:dyDescent="0.2">
      <c r="B13" s="16"/>
      <c r="D13" s="72" t="s">
        <v>115</v>
      </c>
      <c r="E13" s="72"/>
      <c r="F13" s="72"/>
      <c r="G13" s="72"/>
      <c r="H13" s="72"/>
      <c r="I13" s="72"/>
      <c r="J13" s="72"/>
      <c r="L13" s="4"/>
      <c r="M13" s="16"/>
    </row>
    <row r="14" spans="2:13" ht="14.25" customHeight="1" x14ac:dyDescent="0.2">
      <c r="B14" s="16"/>
      <c r="D14" s="293" t="s">
        <v>114</v>
      </c>
      <c r="E14" s="293"/>
      <c r="F14" s="293"/>
      <c r="G14" s="293"/>
      <c r="H14" s="293"/>
      <c r="I14" s="293"/>
      <c r="J14" s="293"/>
      <c r="K14" s="293"/>
      <c r="L14" s="4"/>
      <c r="M14" s="16"/>
    </row>
    <row r="15" spans="2:13" ht="14.25" hidden="1" customHeight="1" x14ac:dyDescent="0.2">
      <c r="B15" s="16"/>
      <c r="D15" s="293"/>
      <c r="E15" s="293"/>
      <c r="F15" s="293"/>
      <c r="G15" s="293"/>
      <c r="H15" s="293"/>
      <c r="I15" s="293"/>
      <c r="J15" s="293"/>
      <c r="K15" s="293"/>
      <c r="L15" s="4"/>
      <c r="M15" s="16"/>
    </row>
    <row r="16" spans="2:13" ht="14.25" hidden="1" customHeight="1" x14ac:dyDescent="0.2">
      <c r="B16" s="16"/>
      <c r="D16" s="293"/>
      <c r="E16" s="293"/>
      <c r="F16" s="293"/>
      <c r="G16" s="293"/>
      <c r="H16" s="293"/>
      <c r="I16" s="293"/>
      <c r="J16" s="293"/>
      <c r="K16" s="293"/>
      <c r="L16" s="4"/>
      <c r="M16" s="16"/>
    </row>
    <row r="17" spans="2:13" ht="14.25" customHeight="1" x14ac:dyDescent="0.2">
      <c r="B17" s="16"/>
      <c r="D17" s="293"/>
      <c r="E17" s="293"/>
      <c r="F17" s="293"/>
      <c r="G17" s="293"/>
      <c r="H17" s="293"/>
      <c r="I17" s="293"/>
      <c r="J17" s="293"/>
      <c r="K17" s="293"/>
      <c r="L17" s="4"/>
      <c r="M17" s="16"/>
    </row>
    <row r="18" spans="2:13" ht="14.25" customHeight="1" x14ac:dyDescent="0.2">
      <c r="B18" s="16"/>
      <c r="D18" s="293"/>
      <c r="E18" s="293"/>
      <c r="F18" s="293"/>
      <c r="G18" s="293"/>
      <c r="H18" s="293"/>
      <c r="I18" s="293"/>
      <c r="J18" s="293"/>
      <c r="K18" s="293"/>
      <c r="L18" s="4"/>
      <c r="M18" s="16"/>
    </row>
    <row r="19" spans="2:13" ht="14.25" customHeight="1" x14ac:dyDescent="0.2">
      <c r="B19" s="16"/>
      <c r="D19" s="293"/>
      <c r="E19" s="293"/>
      <c r="F19" s="293"/>
      <c r="G19" s="293"/>
      <c r="H19" s="293"/>
      <c r="I19" s="293"/>
      <c r="J19" s="293"/>
      <c r="K19" s="293"/>
      <c r="L19" s="4"/>
      <c r="M19" s="16"/>
    </row>
    <row r="20" spans="2:13" x14ac:dyDescent="0.2">
      <c r="B20" s="16"/>
      <c r="D20" s="174"/>
      <c r="E20" s="174"/>
      <c r="F20" s="174"/>
      <c r="G20" s="174"/>
      <c r="H20" s="174"/>
      <c r="I20" s="174"/>
      <c r="J20" s="174"/>
      <c r="K20" s="174"/>
      <c r="L20" s="4"/>
      <c r="M20" s="16"/>
    </row>
    <row r="21" spans="2:13" ht="15" customHeight="1" x14ac:dyDescent="0.2">
      <c r="B21" s="16"/>
      <c r="D21" s="176"/>
      <c r="E21" s="294" t="s">
        <v>111</v>
      </c>
      <c r="F21" s="294"/>
      <c r="G21" s="294" t="s">
        <v>111</v>
      </c>
      <c r="H21" s="294"/>
      <c r="I21" s="294" t="s">
        <v>111</v>
      </c>
      <c r="J21" s="294"/>
      <c r="K21" s="176"/>
      <c r="L21" s="4"/>
      <c r="M21" s="16"/>
    </row>
    <row r="22" spans="2:13" x14ac:dyDescent="0.2">
      <c r="B22" s="16"/>
      <c r="D22" s="176"/>
      <c r="E22" s="199" t="s">
        <v>112</v>
      </c>
      <c r="F22" s="199" t="s">
        <v>113</v>
      </c>
      <c r="G22" s="199" t="s">
        <v>112</v>
      </c>
      <c r="H22" s="199" t="s">
        <v>113</v>
      </c>
      <c r="I22" s="199" t="s">
        <v>112</v>
      </c>
      <c r="J22" s="199" t="s">
        <v>113</v>
      </c>
      <c r="K22" s="176"/>
      <c r="L22" s="4"/>
      <c r="M22" s="16"/>
    </row>
    <row r="23" spans="2:13" x14ac:dyDescent="0.2">
      <c r="B23" s="16"/>
      <c r="D23" s="176"/>
      <c r="E23" s="200">
        <v>0.32291666666666669</v>
      </c>
      <c r="F23" s="200">
        <v>0.51041666666666663</v>
      </c>
      <c r="G23" s="200">
        <v>0.54166666666666663</v>
      </c>
      <c r="H23" s="200">
        <v>0.70833333333333337</v>
      </c>
      <c r="I23" s="200"/>
      <c r="J23" s="200"/>
      <c r="K23" s="176"/>
      <c r="L23" s="4"/>
      <c r="M23" s="16"/>
    </row>
    <row r="24" spans="2:13" x14ac:dyDescent="0.2">
      <c r="B24" s="16"/>
      <c r="D24" s="72"/>
      <c r="E24" s="201"/>
      <c r="F24" s="201"/>
      <c r="G24" s="200"/>
      <c r="H24" s="200"/>
      <c r="I24" s="200">
        <v>0.89583333333333337</v>
      </c>
      <c r="J24" s="200">
        <v>1</v>
      </c>
      <c r="L24" s="4"/>
      <c r="M24" s="16"/>
    </row>
    <row r="25" spans="2:13" ht="14.25" customHeight="1" x14ac:dyDescent="0.2">
      <c r="B25" s="16"/>
      <c r="D25" s="174"/>
      <c r="E25" s="200">
        <v>0</v>
      </c>
      <c r="F25" s="200">
        <v>0.25</v>
      </c>
      <c r="G25" s="200"/>
      <c r="H25" s="200"/>
      <c r="I25" s="200"/>
      <c r="J25" s="200"/>
      <c r="K25" s="174"/>
      <c r="L25" s="4"/>
      <c r="M25" s="16"/>
    </row>
    <row r="26" spans="2:13" x14ac:dyDescent="0.2">
      <c r="B26" s="16"/>
      <c r="D26" s="174"/>
      <c r="E26" s="200">
        <v>0.29166666666666669</v>
      </c>
      <c r="F26" s="200">
        <v>0.625</v>
      </c>
      <c r="G26" s="200"/>
      <c r="H26" s="200"/>
      <c r="I26" s="200"/>
      <c r="J26" s="200"/>
      <c r="K26" s="174"/>
      <c r="L26" s="4"/>
      <c r="M26" s="16"/>
    </row>
    <row r="27" spans="2:13" ht="14.25" customHeight="1" x14ac:dyDescent="0.2">
      <c r="B27" s="16"/>
      <c r="D27" s="174"/>
      <c r="E27" s="200"/>
      <c r="F27" s="200"/>
      <c r="G27" s="200">
        <v>0.625</v>
      </c>
      <c r="H27" s="200">
        <v>0.95833333333333337</v>
      </c>
      <c r="I27" s="200"/>
      <c r="J27" s="200"/>
      <c r="K27" s="174"/>
      <c r="L27" s="4"/>
      <c r="M27" s="16"/>
    </row>
    <row r="28" spans="2:13" x14ac:dyDescent="0.2">
      <c r="B28" s="16"/>
      <c r="D28" s="72"/>
      <c r="E28" s="72"/>
      <c r="F28" s="72"/>
      <c r="G28" s="72"/>
      <c r="H28" s="72"/>
      <c r="I28" s="72"/>
      <c r="J28" s="72"/>
      <c r="L28" s="4"/>
      <c r="M28" s="16"/>
    </row>
    <row r="29" spans="2:13" ht="14.25" customHeight="1" x14ac:dyDescent="0.2">
      <c r="B29" s="16"/>
      <c r="D29" s="202" t="s">
        <v>116</v>
      </c>
      <c r="E29" s="174"/>
      <c r="F29" s="174"/>
      <c r="G29" s="174"/>
      <c r="H29" s="174"/>
      <c r="I29" s="174"/>
      <c r="J29" s="174"/>
      <c r="K29" s="174"/>
      <c r="L29" s="4"/>
      <c r="M29" s="16"/>
    </row>
    <row r="30" spans="2:13" ht="14.25" customHeight="1" x14ac:dyDescent="0.2">
      <c r="B30" s="16"/>
      <c r="D30" s="293" t="s">
        <v>257</v>
      </c>
      <c r="E30" s="293"/>
      <c r="F30" s="293"/>
      <c r="G30" s="293"/>
      <c r="H30" s="293"/>
      <c r="I30" s="293"/>
      <c r="J30" s="293"/>
      <c r="K30" s="293"/>
      <c r="L30" s="4"/>
      <c r="M30" s="16"/>
    </row>
    <row r="31" spans="2:13" x14ac:dyDescent="0.2">
      <c r="B31" s="16"/>
      <c r="D31" s="293"/>
      <c r="E31" s="293"/>
      <c r="F31" s="293"/>
      <c r="G31" s="293"/>
      <c r="H31" s="293"/>
      <c r="I31" s="293"/>
      <c r="J31" s="293"/>
      <c r="K31" s="293"/>
      <c r="L31" s="4"/>
      <c r="M31" s="16"/>
    </row>
    <row r="32" spans="2:13" x14ac:dyDescent="0.2">
      <c r="B32" s="16"/>
      <c r="D32" s="293"/>
      <c r="E32" s="293"/>
      <c r="F32" s="293"/>
      <c r="G32" s="293"/>
      <c r="H32" s="293"/>
      <c r="I32" s="293"/>
      <c r="J32" s="293"/>
      <c r="K32" s="293"/>
      <c r="L32" s="4"/>
      <c r="M32" s="16"/>
    </row>
    <row r="33" spans="2:15" x14ac:dyDescent="0.2">
      <c r="B33" s="16"/>
      <c r="D33" s="293"/>
      <c r="E33" s="293"/>
      <c r="F33" s="293"/>
      <c r="G33" s="293"/>
      <c r="H33" s="293"/>
      <c r="I33" s="293"/>
      <c r="J33" s="293"/>
      <c r="K33" s="293"/>
      <c r="L33" s="4"/>
      <c r="M33" s="16"/>
    </row>
    <row r="34" spans="2:15" ht="14.25" customHeight="1" x14ac:dyDescent="0.2">
      <c r="B34" s="16"/>
      <c r="D34" s="293"/>
      <c r="E34" s="293"/>
      <c r="F34" s="293"/>
      <c r="G34" s="293"/>
      <c r="H34" s="293"/>
      <c r="I34" s="293"/>
      <c r="J34" s="293"/>
      <c r="K34" s="293"/>
      <c r="L34" s="4"/>
      <c r="M34" s="16"/>
    </row>
    <row r="35" spans="2:15" x14ac:dyDescent="0.2">
      <c r="B35" s="16"/>
      <c r="D35" s="293"/>
      <c r="E35" s="293"/>
      <c r="F35" s="293"/>
      <c r="G35" s="293"/>
      <c r="H35" s="293"/>
      <c r="I35" s="293"/>
      <c r="J35" s="293"/>
      <c r="K35" s="293"/>
      <c r="L35" s="4"/>
      <c r="M35" s="16"/>
    </row>
    <row r="36" spans="2:15" x14ac:dyDescent="0.2">
      <c r="B36" s="16"/>
      <c r="D36" s="293"/>
      <c r="E36" s="293"/>
      <c r="F36" s="293"/>
      <c r="G36" s="293"/>
      <c r="H36" s="293"/>
      <c r="I36" s="293"/>
      <c r="J36" s="293"/>
      <c r="K36" s="293"/>
      <c r="L36" s="4"/>
      <c r="M36" s="16"/>
    </row>
    <row r="37" spans="2:15" x14ac:dyDescent="0.2">
      <c r="B37" s="16"/>
      <c r="D37" s="293"/>
      <c r="E37" s="293"/>
      <c r="F37" s="293"/>
      <c r="G37" s="293"/>
      <c r="H37" s="293"/>
      <c r="I37" s="293"/>
      <c r="J37" s="293"/>
      <c r="K37" s="293"/>
      <c r="L37" s="4"/>
      <c r="M37" s="16"/>
    </row>
    <row r="38" spans="2:15" x14ac:dyDescent="0.2">
      <c r="B38" s="16"/>
      <c r="D38" s="293"/>
      <c r="E38" s="293"/>
      <c r="F38" s="293"/>
      <c r="G38" s="293"/>
      <c r="H38" s="293"/>
      <c r="I38" s="293"/>
      <c r="J38" s="293"/>
      <c r="K38" s="293"/>
      <c r="L38" s="4"/>
      <c r="M38" s="16"/>
    </row>
    <row r="39" spans="2:15" ht="14.25" customHeight="1" x14ac:dyDescent="0.2">
      <c r="B39" s="16"/>
      <c r="D39" s="293"/>
      <c r="E39" s="293"/>
      <c r="F39" s="293"/>
      <c r="G39" s="293"/>
      <c r="H39" s="293"/>
      <c r="I39" s="293"/>
      <c r="J39" s="293"/>
      <c r="K39" s="293"/>
      <c r="L39" s="4"/>
      <c r="M39" s="16"/>
    </row>
    <row r="40" spans="2:15" x14ac:dyDescent="0.2">
      <c r="B40" s="16"/>
      <c r="E40" s="72"/>
      <c r="F40" s="72"/>
      <c r="G40" s="72"/>
      <c r="H40" s="72"/>
      <c r="I40" s="72"/>
      <c r="J40" s="72"/>
      <c r="L40" s="4"/>
      <c r="M40" s="16"/>
    </row>
    <row r="41" spans="2:15" x14ac:dyDescent="0.2">
      <c r="B41" s="16"/>
      <c r="D41" s="202" t="s">
        <v>117</v>
      </c>
      <c r="L41" s="4"/>
      <c r="M41" s="16"/>
    </row>
    <row r="42" spans="2:15" x14ac:dyDescent="0.2">
      <c r="B42" s="16"/>
      <c r="L42" s="4"/>
      <c r="M42" s="16"/>
    </row>
    <row r="43" spans="2:15" ht="14.25" customHeight="1" x14ac:dyDescent="0.2">
      <c r="B43" s="16"/>
      <c r="L43" s="4"/>
      <c r="M43" s="16"/>
    </row>
    <row r="44" spans="2:15" x14ac:dyDescent="0.2">
      <c r="B44" s="16"/>
      <c r="L44" s="4"/>
      <c r="M44" s="16"/>
    </row>
    <row r="45" spans="2:15" x14ac:dyDescent="0.2">
      <c r="B45" s="16"/>
      <c r="L45" s="4"/>
      <c r="M45" s="16"/>
    </row>
    <row r="46" spans="2:15" x14ac:dyDescent="0.2">
      <c r="B46" s="16"/>
      <c r="L46" s="4"/>
      <c r="M46" s="16"/>
    </row>
    <row r="47" spans="2:15" x14ac:dyDescent="0.2">
      <c r="B47" s="16"/>
      <c r="L47" s="4"/>
      <c r="M47" s="16"/>
    </row>
    <row r="48" spans="2:15" x14ac:dyDescent="0.2">
      <c r="B48" s="16"/>
      <c r="L48" s="4"/>
      <c r="M48" s="16"/>
      <c r="O48" s="265"/>
    </row>
    <row r="49" spans="1:13" x14ac:dyDescent="0.2">
      <c r="B49" s="16"/>
      <c r="L49" s="4"/>
      <c r="M49" s="16"/>
    </row>
    <row r="50" spans="1:13" x14ac:dyDescent="0.2">
      <c r="B50" s="16"/>
      <c r="L50" s="4"/>
      <c r="M50" s="16"/>
    </row>
    <row r="51" spans="1:13" x14ac:dyDescent="0.2">
      <c r="B51" s="16"/>
      <c r="L51" s="4"/>
      <c r="M51" s="16"/>
    </row>
    <row r="52" spans="1:13" x14ac:dyDescent="0.2">
      <c r="B52" s="16"/>
      <c r="G52" s="175" t="s">
        <v>118</v>
      </c>
      <c r="L52" s="4"/>
      <c r="M52" s="16"/>
    </row>
    <row r="53" spans="1:13" x14ac:dyDescent="0.2">
      <c r="B53" s="16"/>
      <c r="L53" s="4"/>
      <c r="M53" s="16"/>
    </row>
    <row r="54" spans="1:13" x14ac:dyDescent="0.2">
      <c r="B54" s="16"/>
      <c r="L54" s="4"/>
      <c r="M54" s="16"/>
    </row>
    <row r="55" spans="1:13" x14ac:dyDescent="0.2">
      <c r="B55" s="16"/>
      <c r="L55" s="4"/>
      <c r="M55" s="16"/>
    </row>
    <row r="56" spans="1:13" x14ac:dyDescent="0.2">
      <c r="B56" s="16"/>
      <c r="L56" s="4"/>
      <c r="M56" s="16"/>
    </row>
    <row r="57" spans="1:13" x14ac:dyDescent="0.2">
      <c r="B57" s="16"/>
      <c r="L57" s="4"/>
      <c r="M57" s="16"/>
    </row>
    <row r="58" spans="1:13" x14ac:dyDescent="0.2">
      <c r="A58" s="4"/>
      <c r="L58" s="4"/>
      <c r="M58" s="16"/>
    </row>
    <row r="59" spans="1:13" x14ac:dyDescent="0.2">
      <c r="B59" s="13"/>
      <c r="C59" s="13"/>
      <c r="D59" s="13"/>
      <c r="E59" s="13"/>
      <c r="F59" s="13"/>
      <c r="G59" s="13"/>
      <c r="H59" s="13"/>
      <c r="I59" s="13"/>
      <c r="J59" s="13"/>
      <c r="K59" s="13"/>
      <c r="L59" s="13"/>
    </row>
    <row r="63" spans="1:13" x14ac:dyDescent="0.2">
      <c r="B63" s="15"/>
      <c r="C63" s="13"/>
      <c r="D63" s="13"/>
      <c r="E63" s="13"/>
      <c r="F63" s="13"/>
      <c r="G63" s="13"/>
      <c r="H63" s="13"/>
      <c r="I63" s="13"/>
      <c r="J63" s="13"/>
      <c r="K63" s="13"/>
      <c r="L63" s="14"/>
      <c r="M63" s="16"/>
    </row>
    <row r="64" spans="1:13" x14ac:dyDescent="0.2">
      <c r="B64" s="16"/>
      <c r="C64" s="3"/>
      <c r="L64" s="4"/>
      <c r="M64" s="16"/>
    </row>
    <row r="65" spans="2:13" x14ac:dyDescent="0.2">
      <c r="B65" s="16"/>
      <c r="F65" s="5"/>
      <c r="G65" s="5"/>
      <c r="H65" s="5"/>
      <c r="I65" s="5"/>
      <c r="L65" s="4"/>
      <c r="M65" s="16"/>
    </row>
    <row r="66" spans="2:13" x14ac:dyDescent="0.2">
      <c r="B66" s="16"/>
      <c r="F66" s="5"/>
      <c r="G66" s="5"/>
      <c r="H66" s="5"/>
      <c r="I66" s="5"/>
      <c r="L66" s="4"/>
      <c r="M66" s="16"/>
    </row>
    <row r="67" spans="2:13" x14ac:dyDescent="0.2">
      <c r="B67" s="16"/>
      <c r="F67" s="5"/>
      <c r="G67" s="5"/>
      <c r="H67" s="5"/>
      <c r="I67" s="5"/>
      <c r="L67" s="4"/>
      <c r="M67" s="16"/>
    </row>
    <row r="68" spans="2:13" x14ac:dyDescent="0.2">
      <c r="B68" s="16"/>
      <c r="L68" s="4"/>
      <c r="M68" s="16"/>
    </row>
    <row r="69" spans="2:13" ht="14.25" customHeight="1" x14ac:dyDescent="0.2">
      <c r="B69" s="16"/>
      <c r="G69" s="203"/>
      <c r="H69" s="203"/>
      <c r="I69" s="203"/>
      <c r="J69" s="203"/>
      <c r="L69" s="4"/>
      <c r="M69" s="16"/>
    </row>
    <row r="70" spans="2:13" ht="14.25" customHeight="1" x14ac:dyDescent="0.2">
      <c r="B70" s="16"/>
      <c r="D70" s="296" t="s">
        <v>122</v>
      </c>
      <c r="E70" s="296"/>
      <c r="F70" s="296"/>
      <c r="G70" s="296"/>
      <c r="H70" s="296"/>
      <c r="I70" s="296"/>
      <c r="J70" s="296"/>
      <c r="K70" s="296"/>
      <c r="L70" s="4"/>
      <c r="M70" s="16"/>
    </row>
    <row r="71" spans="2:13" ht="15.75" customHeight="1" x14ac:dyDescent="0.2">
      <c r="B71" s="16"/>
      <c r="D71" s="293" t="s">
        <v>123</v>
      </c>
      <c r="E71" s="293"/>
      <c r="F71" s="293"/>
      <c r="G71" s="293"/>
      <c r="H71" s="293"/>
      <c r="I71" s="293"/>
      <c r="J71" s="293"/>
      <c r="K71" s="293"/>
      <c r="L71" s="4"/>
      <c r="M71" s="16"/>
    </row>
    <row r="72" spans="2:13" ht="15.75" customHeight="1" x14ac:dyDescent="0.2">
      <c r="B72" s="16"/>
      <c r="D72" s="293"/>
      <c r="E72" s="293"/>
      <c r="F72" s="293"/>
      <c r="G72" s="293"/>
      <c r="H72" s="293"/>
      <c r="I72" s="293"/>
      <c r="J72" s="293"/>
      <c r="K72" s="293"/>
      <c r="L72" s="4"/>
      <c r="M72" s="16"/>
    </row>
    <row r="73" spans="2:13" ht="15.75" customHeight="1" x14ac:dyDescent="0.2">
      <c r="B73" s="16"/>
      <c r="D73" s="293"/>
      <c r="E73" s="293"/>
      <c r="F73" s="293"/>
      <c r="G73" s="293"/>
      <c r="H73" s="293"/>
      <c r="I73" s="293"/>
      <c r="J73" s="293"/>
      <c r="K73" s="293"/>
      <c r="L73" s="4"/>
      <c r="M73" s="16"/>
    </row>
    <row r="74" spans="2:13" x14ac:dyDescent="0.2">
      <c r="B74" s="16"/>
      <c r="D74" s="72"/>
      <c r="E74" s="72"/>
      <c r="F74" s="72"/>
      <c r="G74" s="72"/>
      <c r="H74" s="72"/>
      <c r="I74" s="72"/>
      <c r="J74" s="72"/>
      <c r="L74" s="4"/>
      <c r="M74" s="16"/>
    </row>
    <row r="75" spans="2:13" x14ac:dyDescent="0.2">
      <c r="B75" s="16"/>
      <c r="D75" s="296" t="s">
        <v>124</v>
      </c>
      <c r="E75" s="296"/>
      <c r="F75" s="296"/>
      <c r="G75" s="296"/>
      <c r="H75" s="296"/>
      <c r="I75" s="296"/>
      <c r="J75" s="296"/>
      <c r="K75" s="296"/>
      <c r="L75" s="4"/>
      <c r="M75" s="16"/>
    </row>
    <row r="76" spans="2:13" x14ac:dyDescent="0.2">
      <c r="B76" s="16"/>
      <c r="D76" s="293" t="s">
        <v>125</v>
      </c>
      <c r="E76" s="293"/>
      <c r="F76" s="293"/>
      <c r="G76" s="293"/>
      <c r="H76" s="293"/>
      <c r="I76" s="293"/>
      <c r="J76" s="293"/>
      <c r="K76" s="293"/>
      <c r="L76" s="4"/>
      <c r="M76" s="16"/>
    </row>
    <row r="77" spans="2:13" x14ac:dyDescent="0.2">
      <c r="B77" s="16"/>
      <c r="D77" s="293"/>
      <c r="E77" s="293"/>
      <c r="F77" s="293"/>
      <c r="G77" s="293"/>
      <c r="H77" s="293"/>
      <c r="I77" s="293"/>
      <c r="J77" s="293"/>
      <c r="K77" s="293"/>
      <c r="L77" s="4"/>
      <c r="M77" s="16"/>
    </row>
    <row r="78" spans="2:13" x14ac:dyDescent="0.2">
      <c r="B78" s="16"/>
      <c r="D78" s="293"/>
      <c r="E78" s="293"/>
      <c r="F78" s="293"/>
      <c r="G78" s="293"/>
      <c r="H78" s="293"/>
      <c r="I78" s="293"/>
      <c r="J78" s="293"/>
      <c r="K78" s="293"/>
      <c r="L78" s="4"/>
      <c r="M78" s="16"/>
    </row>
    <row r="79" spans="2:13" x14ac:dyDescent="0.2">
      <c r="B79" s="16"/>
      <c r="L79" s="4"/>
      <c r="M79" s="16"/>
    </row>
    <row r="80" spans="2:13" x14ac:dyDescent="0.2">
      <c r="B80" s="16"/>
      <c r="D80" s="296" t="s">
        <v>126</v>
      </c>
      <c r="E80" s="296"/>
      <c r="F80" s="296"/>
      <c r="G80" s="296"/>
      <c r="H80" s="296"/>
      <c r="I80" s="296"/>
      <c r="J80" s="296"/>
      <c r="K80" s="296"/>
      <c r="L80" s="4"/>
      <c r="M80" s="16"/>
    </row>
    <row r="81" spans="2:13" ht="14.25" customHeight="1" x14ac:dyDescent="0.2">
      <c r="B81" s="16"/>
      <c r="D81" s="293" t="s">
        <v>127</v>
      </c>
      <c r="E81" s="293"/>
      <c r="F81" s="293"/>
      <c r="G81" s="293"/>
      <c r="H81" s="293"/>
      <c r="I81" s="293"/>
      <c r="J81" s="293"/>
      <c r="K81" s="293"/>
      <c r="L81" s="4"/>
      <c r="M81" s="16"/>
    </row>
    <row r="82" spans="2:13" x14ac:dyDescent="0.2">
      <c r="B82" s="16"/>
      <c r="D82" s="293"/>
      <c r="E82" s="293"/>
      <c r="F82" s="293"/>
      <c r="G82" s="293"/>
      <c r="H82" s="293"/>
      <c r="I82" s="293"/>
      <c r="J82" s="293"/>
      <c r="K82" s="293"/>
      <c r="L82" s="4"/>
      <c r="M82" s="16"/>
    </row>
    <row r="83" spans="2:13" x14ac:dyDescent="0.2">
      <c r="B83" s="16"/>
      <c r="D83" s="293"/>
      <c r="E83" s="293"/>
      <c r="F83" s="293"/>
      <c r="G83" s="293"/>
      <c r="H83" s="293"/>
      <c r="I83" s="293"/>
      <c r="J83" s="293"/>
      <c r="K83" s="293"/>
      <c r="L83" s="4"/>
      <c r="M83" s="16"/>
    </row>
    <row r="84" spans="2:13" x14ac:dyDescent="0.2">
      <c r="B84" s="16"/>
      <c r="D84" s="293"/>
      <c r="E84" s="293"/>
      <c r="F84" s="293"/>
      <c r="G84" s="293"/>
      <c r="H84" s="293"/>
      <c r="I84" s="293"/>
      <c r="J84" s="293"/>
      <c r="K84" s="293"/>
      <c r="L84" s="4"/>
      <c r="M84" s="16"/>
    </row>
    <row r="85" spans="2:13" x14ac:dyDescent="0.2">
      <c r="B85" s="16"/>
      <c r="D85" s="174"/>
      <c r="E85" s="174"/>
      <c r="F85" s="174"/>
      <c r="G85" s="174"/>
      <c r="H85" s="174"/>
      <c r="I85" s="174"/>
      <c r="J85" s="174"/>
      <c r="K85" s="174"/>
      <c r="L85" s="4"/>
      <c r="M85" s="16"/>
    </row>
    <row r="86" spans="2:13" ht="15" customHeight="1" x14ac:dyDescent="0.2">
      <c r="B86" s="16"/>
      <c r="D86" s="298" t="s">
        <v>128</v>
      </c>
      <c r="E86" s="298"/>
      <c r="F86" s="298"/>
      <c r="G86" s="298"/>
      <c r="H86" s="298"/>
      <c r="I86" s="298"/>
      <c r="J86" s="298"/>
      <c r="K86" s="298"/>
      <c r="L86" s="4"/>
      <c r="M86" s="16"/>
    </row>
    <row r="87" spans="2:13" ht="14.25" customHeight="1" x14ac:dyDescent="0.2">
      <c r="B87" s="16"/>
      <c r="D87" s="298"/>
      <c r="E87" s="298"/>
      <c r="F87" s="298"/>
      <c r="G87" s="298"/>
      <c r="H87" s="298"/>
      <c r="I87" s="298"/>
      <c r="J87" s="298"/>
      <c r="K87" s="298"/>
      <c r="L87" s="4"/>
      <c r="M87" s="16"/>
    </row>
    <row r="88" spans="2:13" x14ac:dyDescent="0.2">
      <c r="B88" s="16"/>
      <c r="D88" s="293" t="s">
        <v>129</v>
      </c>
      <c r="E88" s="293"/>
      <c r="F88" s="293"/>
      <c r="G88" s="293"/>
      <c r="H88" s="293"/>
      <c r="I88" s="293"/>
      <c r="J88" s="293"/>
      <c r="K88" s="293"/>
      <c r="L88" s="4"/>
      <c r="M88" s="16"/>
    </row>
    <row r="89" spans="2:13" x14ac:dyDescent="0.2">
      <c r="B89" s="16"/>
      <c r="D89" s="293"/>
      <c r="E89" s="293"/>
      <c r="F89" s="293"/>
      <c r="G89" s="293"/>
      <c r="H89" s="293"/>
      <c r="I89" s="293"/>
      <c r="J89" s="293"/>
      <c r="K89" s="293"/>
      <c r="L89" s="4"/>
      <c r="M89" s="16"/>
    </row>
    <row r="90" spans="2:13" x14ac:dyDescent="0.2">
      <c r="B90" s="16"/>
      <c r="D90" s="293"/>
      <c r="E90" s="293"/>
      <c r="F90" s="293"/>
      <c r="G90" s="293"/>
      <c r="H90" s="293"/>
      <c r="I90" s="293"/>
      <c r="J90" s="293"/>
      <c r="K90" s="293"/>
      <c r="L90" s="4"/>
      <c r="M90" s="16"/>
    </row>
    <row r="91" spans="2:13" x14ac:dyDescent="0.2">
      <c r="B91" s="16"/>
      <c r="D91" s="293"/>
      <c r="E91" s="293"/>
      <c r="F91" s="293"/>
      <c r="G91" s="293"/>
      <c r="H91" s="293"/>
      <c r="I91" s="293"/>
      <c r="J91" s="293"/>
      <c r="K91" s="293"/>
      <c r="L91" s="4"/>
      <c r="M91" s="16"/>
    </row>
    <row r="92" spans="2:13" x14ac:dyDescent="0.2">
      <c r="B92" s="16"/>
      <c r="D92" s="293"/>
      <c r="E92" s="293"/>
      <c r="F92" s="293"/>
      <c r="G92" s="293"/>
      <c r="H92" s="293"/>
      <c r="I92" s="293"/>
      <c r="J92" s="293"/>
      <c r="K92" s="293"/>
      <c r="L92" s="4"/>
      <c r="M92" s="16"/>
    </row>
    <row r="93" spans="2:13" x14ac:dyDescent="0.2">
      <c r="B93" s="16"/>
      <c r="D93" s="293"/>
      <c r="E93" s="293"/>
      <c r="F93" s="293"/>
      <c r="G93" s="293"/>
      <c r="H93" s="293"/>
      <c r="I93" s="293"/>
      <c r="J93" s="293"/>
      <c r="K93" s="293"/>
      <c r="L93" s="4"/>
      <c r="M93" s="16"/>
    </row>
    <row r="94" spans="2:13" x14ac:dyDescent="0.2">
      <c r="B94" s="16"/>
      <c r="D94" s="293"/>
      <c r="E94" s="293"/>
      <c r="F94" s="293"/>
      <c r="G94" s="293"/>
      <c r="H94" s="293"/>
      <c r="I94" s="293"/>
      <c r="J94" s="293"/>
      <c r="K94" s="293"/>
      <c r="L94" s="4"/>
      <c r="M94" s="16"/>
    </row>
    <row r="95" spans="2:13" x14ac:dyDescent="0.2">
      <c r="B95" s="16"/>
      <c r="M95" s="16"/>
    </row>
    <row r="96" spans="2:13" ht="14.25" customHeight="1" x14ac:dyDescent="0.2">
      <c r="B96" s="16"/>
      <c r="D96" s="296" t="s">
        <v>130</v>
      </c>
      <c r="E96" s="296"/>
      <c r="F96" s="296"/>
      <c r="G96" s="296"/>
      <c r="H96" s="296"/>
      <c r="I96" s="296"/>
      <c r="J96" s="296"/>
      <c r="K96" s="296"/>
      <c r="L96" s="299"/>
      <c r="M96" s="16"/>
    </row>
    <row r="97" spans="2:13" x14ac:dyDescent="0.2">
      <c r="B97" s="16"/>
      <c r="D97" s="293" t="s">
        <v>131</v>
      </c>
      <c r="E97" s="293"/>
      <c r="F97" s="293"/>
      <c r="G97" s="293"/>
      <c r="H97" s="293"/>
      <c r="I97" s="293"/>
      <c r="J97" s="293"/>
      <c r="K97" s="293"/>
      <c r="L97" s="4"/>
      <c r="M97" s="16"/>
    </row>
    <row r="98" spans="2:13" ht="14.25" customHeight="1" x14ac:dyDescent="0.2">
      <c r="B98" s="16"/>
      <c r="D98" s="293"/>
      <c r="E98" s="293"/>
      <c r="F98" s="293"/>
      <c r="G98" s="293"/>
      <c r="H98" s="293"/>
      <c r="I98" s="293"/>
      <c r="J98" s="293"/>
      <c r="K98" s="293"/>
      <c r="L98" s="4"/>
      <c r="M98" s="16"/>
    </row>
    <row r="99" spans="2:13" x14ac:dyDescent="0.2">
      <c r="B99" s="16"/>
      <c r="D99" s="293"/>
      <c r="E99" s="293"/>
      <c r="F99" s="293"/>
      <c r="G99" s="293"/>
      <c r="H99" s="293"/>
      <c r="I99" s="293"/>
      <c r="J99" s="293"/>
      <c r="K99" s="293"/>
      <c r="L99" s="4"/>
      <c r="M99" s="16"/>
    </row>
    <row r="100" spans="2:13" x14ac:dyDescent="0.2">
      <c r="B100" s="16"/>
      <c r="M100" s="16"/>
    </row>
    <row r="101" spans="2:13" x14ac:dyDescent="0.2">
      <c r="B101" s="16"/>
      <c r="D101" s="296" t="s">
        <v>132</v>
      </c>
      <c r="E101" s="296"/>
      <c r="F101" s="296"/>
      <c r="G101" s="296"/>
      <c r="H101" s="296"/>
      <c r="I101" s="296"/>
      <c r="J101" s="296"/>
      <c r="K101" s="296"/>
      <c r="L101" s="4"/>
      <c r="M101" s="16"/>
    </row>
    <row r="102" spans="2:13" x14ac:dyDescent="0.2">
      <c r="B102" s="16"/>
      <c r="L102" s="4"/>
      <c r="M102" s="16"/>
    </row>
    <row r="103" spans="2:13" x14ac:dyDescent="0.2">
      <c r="B103" s="16"/>
      <c r="D103" s="174"/>
      <c r="E103" s="174"/>
      <c r="F103" s="174"/>
      <c r="G103" s="174"/>
      <c r="H103" s="174"/>
      <c r="I103" s="174"/>
      <c r="J103" s="174"/>
      <c r="K103" s="174"/>
      <c r="L103" s="4"/>
      <c r="M103" s="16"/>
    </row>
    <row r="104" spans="2:13" x14ac:dyDescent="0.2">
      <c r="B104" s="16"/>
      <c r="L104" s="4"/>
      <c r="M104" s="16"/>
    </row>
    <row r="105" spans="2:13" x14ac:dyDescent="0.2">
      <c r="B105" s="16"/>
      <c r="L105" s="4"/>
      <c r="M105" s="16"/>
    </row>
    <row r="106" spans="2:13" x14ac:dyDescent="0.2">
      <c r="B106" s="16"/>
      <c r="L106" s="4"/>
      <c r="M106" s="16"/>
    </row>
    <row r="107" spans="2:13" x14ac:dyDescent="0.2">
      <c r="B107" s="16"/>
      <c r="L107" s="4"/>
      <c r="M107" s="16"/>
    </row>
    <row r="108" spans="2:13" x14ac:dyDescent="0.2">
      <c r="B108" s="16"/>
      <c r="L108" s="4"/>
      <c r="M108" s="16"/>
    </row>
    <row r="109" spans="2:13" x14ac:dyDescent="0.2">
      <c r="B109" s="16"/>
      <c r="L109" s="4"/>
      <c r="M109" s="16"/>
    </row>
    <row r="110" spans="2:13" x14ac:dyDescent="0.2">
      <c r="B110" s="16"/>
      <c r="L110" s="4"/>
      <c r="M110" s="16"/>
    </row>
    <row r="111" spans="2:13" x14ac:dyDescent="0.2">
      <c r="B111" s="16"/>
      <c r="L111" s="4"/>
      <c r="M111" s="16"/>
    </row>
    <row r="112" spans="2:13" x14ac:dyDescent="0.2">
      <c r="B112" s="16"/>
      <c r="L112" s="4"/>
      <c r="M112" s="16"/>
    </row>
    <row r="113" spans="1:13" x14ac:dyDescent="0.2">
      <c r="B113" s="16"/>
      <c r="G113" s="175" t="s">
        <v>120</v>
      </c>
      <c r="L113" s="4"/>
      <c r="M113" s="16"/>
    </row>
    <row r="114" spans="1:13" x14ac:dyDescent="0.2">
      <c r="B114" s="16"/>
      <c r="L114" s="4"/>
      <c r="M114" s="16"/>
    </row>
    <row r="115" spans="1:13" x14ac:dyDescent="0.2">
      <c r="B115" s="16"/>
      <c r="L115" s="4"/>
      <c r="M115" s="16"/>
    </row>
    <row r="116" spans="1:13" x14ac:dyDescent="0.2">
      <c r="B116" s="16"/>
      <c r="L116" s="4"/>
      <c r="M116" s="16"/>
    </row>
    <row r="117" spans="1:13" x14ac:dyDescent="0.2">
      <c r="B117" s="16"/>
      <c r="L117" s="4"/>
      <c r="M117" s="16"/>
    </row>
    <row r="118" spans="1:13" x14ac:dyDescent="0.2">
      <c r="B118" s="16"/>
      <c r="L118" s="4"/>
      <c r="M118" s="16"/>
    </row>
    <row r="119" spans="1:13" x14ac:dyDescent="0.2">
      <c r="A119" s="4"/>
      <c r="L119" s="4"/>
      <c r="M119" s="16"/>
    </row>
    <row r="120" spans="1:13" x14ac:dyDescent="0.2">
      <c r="B120" s="13"/>
      <c r="C120" s="13"/>
      <c r="D120" s="13"/>
      <c r="E120" s="13"/>
      <c r="F120" s="13"/>
      <c r="G120" s="13"/>
      <c r="H120" s="13"/>
      <c r="I120" s="13"/>
      <c r="J120" s="13"/>
      <c r="K120" s="13"/>
      <c r="L120" s="13"/>
    </row>
    <row r="122" spans="1:13" x14ac:dyDescent="0.2">
      <c r="B122" s="15"/>
      <c r="C122" s="13"/>
      <c r="D122" s="13"/>
      <c r="E122" s="13"/>
      <c r="F122" s="13"/>
      <c r="G122" s="13"/>
      <c r="H122" s="13"/>
      <c r="I122" s="13"/>
      <c r="J122" s="13"/>
      <c r="K122" s="13"/>
      <c r="L122" s="14"/>
      <c r="M122" s="16"/>
    </row>
    <row r="123" spans="1:13" x14ac:dyDescent="0.2">
      <c r="B123" s="16"/>
      <c r="C123" s="3"/>
      <c r="L123" s="4"/>
      <c r="M123" s="16"/>
    </row>
    <row r="124" spans="1:13" x14ac:dyDescent="0.2">
      <c r="B124" s="16"/>
      <c r="F124" s="5"/>
      <c r="G124" s="5"/>
      <c r="H124" s="5"/>
      <c r="I124" s="5"/>
      <c r="L124" s="4"/>
      <c r="M124" s="16"/>
    </row>
    <row r="125" spans="1:13" x14ac:dyDescent="0.2">
      <c r="B125" s="16"/>
      <c r="F125" s="5"/>
      <c r="G125" s="5"/>
      <c r="H125" s="5"/>
      <c r="I125" s="5"/>
      <c r="L125" s="4"/>
      <c r="M125" s="16"/>
    </row>
    <row r="126" spans="1:13" x14ac:dyDescent="0.2">
      <c r="B126" s="16"/>
      <c r="F126" s="5"/>
      <c r="G126" s="5"/>
      <c r="H126" s="5"/>
      <c r="I126" s="5"/>
      <c r="L126" s="4"/>
      <c r="M126" s="16"/>
    </row>
    <row r="127" spans="1:13" x14ac:dyDescent="0.2">
      <c r="B127" s="16"/>
      <c r="L127" s="4"/>
      <c r="M127" s="16"/>
    </row>
    <row r="128" spans="1:13" ht="15.75" x14ac:dyDescent="0.2">
      <c r="B128" s="16"/>
      <c r="G128" s="203"/>
      <c r="H128" s="203"/>
      <c r="I128" s="203"/>
      <c r="J128" s="203"/>
      <c r="L128" s="4"/>
      <c r="M128" s="16"/>
    </row>
    <row r="129" spans="2:13" x14ac:dyDescent="0.2">
      <c r="B129" s="16"/>
      <c r="D129" s="296" t="s">
        <v>133</v>
      </c>
      <c r="E129" s="296"/>
      <c r="F129" s="296"/>
      <c r="G129" s="296"/>
      <c r="H129" s="296"/>
      <c r="I129" s="296"/>
      <c r="J129" s="296"/>
      <c r="K129" s="296"/>
      <c r="L129" s="299"/>
      <c r="M129" s="16"/>
    </row>
    <row r="130" spans="2:13" x14ac:dyDescent="0.2">
      <c r="B130" s="16"/>
      <c r="D130" s="293" t="s">
        <v>134</v>
      </c>
      <c r="E130" s="293"/>
      <c r="F130" s="293"/>
      <c r="G130" s="293"/>
      <c r="H130" s="293"/>
      <c r="I130" s="293"/>
      <c r="J130" s="293"/>
      <c r="K130" s="293"/>
      <c r="L130" s="4"/>
      <c r="M130" s="16"/>
    </row>
    <row r="131" spans="2:13" x14ac:dyDescent="0.2">
      <c r="B131" s="16"/>
      <c r="D131" s="293"/>
      <c r="E131" s="293"/>
      <c r="F131" s="293"/>
      <c r="G131" s="293"/>
      <c r="H131" s="293"/>
      <c r="I131" s="293"/>
      <c r="J131" s="293"/>
      <c r="K131" s="293"/>
      <c r="L131" s="4"/>
      <c r="M131" s="16"/>
    </row>
    <row r="132" spans="2:13" x14ac:dyDescent="0.2">
      <c r="B132" s="16"/>
      <c r="D132" s="293"/>
      <c r="E132" s="293"/>
      <c r="F132" s="293"/>
      <c r="G132" s="293"/>
      <c r="H132" s="293"/>
      <c r="I132" s="293"/>
      <c r="J132" s="293"/>
      <c r="K132" s="293"/>
      <c r="L132" s="4"/>
      <c r="M132" s="16"/>
    </row>
    <row r="133" spans="2:13" x14ac:dyDescent="0.2">
      <c r="B133" s="16"/>
      <c r="D133" s="72"/>
      <c r="E133" s="72"/>
      <c r="F133" s="72"/>
      <c r="G133" s="72"/>
      <c r="H133" s="72"/>
      <c r="I133" s="72"/>
      <c r="J133" s="72"/>
      <c r="L133" s="4"/>
      <c r="M133" s="16"/>
    </row>
    <row r="134" spans="2:13" x14ac:dyDescent="0.2">
      <c r="B134" s="16"/>
      <c r="D134" s="296" t="s">
        <v>135</v>
      </c>
      <c r="E134" s="296"/>
      <c r="F134" s="296"/>
      <c r="G134" s="296"/>
      <c r="H134" s="296"/>
      <c r="I134" s="296"/>
      <c r="J134" s="296"/>
      <c r="K134" s="296"/>
      <c r="L134" s="4"/>
      <c r="M134" s="16"/>
    </row>
    <row r="135" spans="2:13" ht="14.25" customHeight="1" x14ac:dyDescent="0.2">
      <c r="B135" s="16"/>
      <c r="D135" s="293" t="s">
        <v>251</v>
      </c>
      <c r="E135" s="293"/>
      <c r="F135" s="293"/>
      <c r="G135" s="293"/>
      <c r="H135" s="293"/>
      <c r="I135" s="293"/>
      <c r="J135" s="293"/>
      <c r="K135" s="293"/>
      <c r="L135" s="4"/>
      <c r="M135" s="16"/>
    </row>
    <row r="136" spans="2:13" x14ac:dyDescent="0.2">
      <c r="B136" s="16"/>
      <c r="D136" s="293"/>
      <c r="E136" s="293"/>
      <c r="F136" s="293"/>
      <c r="G136" s="293"/>
      <c r="H136" s="293"/>
      <c r="I136" s="293"/>
      <c r="J136" s="293"/>
      <c r="K136" s="293"/>
      <c r="L136" s="4"/>
      <c r="M136" s="16"/>
    </row>
    <row r="137" spans="2:13" x14ac:dyDescent="0.2">
      <c r="B137" s="16"/>
      <c r="D137" s="293"/>
      <c r="E137" s="293"/>
      <c r="F137" s="293"/>
      <c r="G137" s="293"/>
      <c r="H137" s="293"/>
      <c r="I137" s="293"/>
      <c r="J137" s="293"/>
      <c r="K137" s="293"/>
      <c r="L137" s="4"/>
      <c r="M137" s="16"/>
    </row>
    <row r="138" spans="2:13" x14ac:dyDescent="0.2">
      <c r="B138" s="16"/>
      <c r="D138" s="293"/>
      <c r="E138" s="293"/>
      <c r="F138" s="293"/>
      <c r="G138" s="293"/>
      <c r="H138" s="293"/>
      <c r="I138" s="293"/>
      <c r="J138" s="293"/>
      <c r="K138" s="293"/>
      <c r="L138" s="4"/>
      <c r="M138" s="16"/>
    </row>
    <row r="139" spans="2:13" x14ac:dyDescent="0.2">
      <c r="B139" s="16"/>
      <c r="D139" s="293"/>
      <c r="E139" s="293"/>
      <c r="F139" s="293"/>
      <c r="G139" s="293"/>
      <c r="H139" s="293"/>
      <c r="I139" s="293"/>
      <c r="J139" s="293"/>
      <c r="K139" s="293"/>
      <c r="L139" s="4"/>
      <c r="M139" s="16"/>
    </row>
    <row r="140" spans="2:13" x14ac:dyDescent="0.2">
      <c r="B140" s="16"/>
      <c r="D140" s="293"/>
      <c r="E140" s="293"/>
      <c r="F140" s="293"/>
      <c r="G140" s="293"/>
      <c r="H140" s="293"/>
      <c r="I140" s="293"/>
      <c r="J140" s="293"/>
      <c r="K140" s="293"/>
      <c r="L140" s="4"/>
      <c r="M140" s="16"/>
    </row>
    <row r="141" spans="2:13" x14ac:dyDescent="0.2">
      <c r="B141" s="16"/>
      <c r="D141" s="293"/>
      <c r="E141" s="293"/>
      <c r="F141" s="293"/>
      <c r="G141" s="293"/>
      <c r="H141" s="293"/>
      <c r="I141" s="293"/>
      <c r="J141" s="293"/>
      <c r="K141" s="293"/>
      <c r="L141" s="4"/>
      <c r="M141" s="16"/>
    </row>
    <row r="142" spans="2:13" x14ac:dyDescent="0.2">
      <c r="B142" s="16"/>
      <c r="L142" s="4"/>
      <c r="M142" s="16"/>
    </row>
    <row r="143" spans="2:13" ht="14.25" customHeight="1" x14ac:dyDescent="0.2">
      <c r="B143" s="16"/>
      <c r="D143" s="296" t="s">
        <v>136</v>
      </c>
      <c r="E143" s="296"/>
      <c r="F143" s="296"/>
      <c r="G143" s="296"/>
      <c r="H143" s="296"/>
      <c r="I143" s="296"/>
      <c r="J143" s="296"/>
      <c r="K143" s="296"/>
      <c r="L143" s="4"/>
      <c r="M143" s="16"/>
    </row>
    <row r="144" spans="2:13" ht="14.25" customHeight="1" x14ac:dyDescent="0.2">
      <c r="B144" s="16"/>
      <c r="D144" s="293" t="s">
        <v>137</v>
      </c>
      <c r="E144" s="293"/>
      <c r="F144" s="293"/>
      <c r="G144" s="293"/>
      <c r="H144" s="293"/>
      <c r="I144" s="293"/>
      <c r="J144" s="293"/>
      <c r="K144" s="293"/>
      <c r="L144" s="4"/>
      <c r="M144" s="16"/>
    </row>
    <row r="145" spans="2:13" x14ac:dyDescent="0.2">
      <c r="B145" s="16"/>
      <c r="D145" s="293"/>
      <c r="E145" s="293"/>
      <c r="F145" s="293"/>
      <c r="G145" s="293"/>
      <c r="H145" s="293"/>
      <c r="I145" s="293"/>
      <c r="J145" s="293"/>
      <c r="K145" s="293"/>
      <c r="L145" s="4"/>
      <c r="M145" s="16"/>
    </row>
    <row r="146" spans="2:13" x14ac:dyDescent="0.2">
      <c r="B146" s="16"/>
      <c r="D146" s="293"/>
      <c r="E146" s="293"/>
      <c r="F146" s="293"/>
      <c r="G146" s="293"/>
      <c r="H146" s="293"/>
      <c r="I146" s="293"/>
      <c r="J146" s="293"/>
      <c r="K146" s="293"/>
      <c r="L146" s="4"/>
      <c r="M146" s="16"/>
    </row>
    <row r="147" spans="2:13" x14ac:dyDescent="0.2">
      <c r="B147" s="16"/>
      <c r="D147" s="293"/>
      <c r="E147" s="293"/>
      <c r="F147" s="293"/>
      <c r="G147" s="293"/>
      <c r="H147" s="293"/>
      <c r="I147" s="293"/>
      <c r="J147" s="293"/>
      <c r="K147" s="293"/>
      <c r="L147" s="4"/>
      <c r="M147" s="16"/>
    </row>
    <row r="148" spans="2:13" x14ac:dyDescent="0.2">
      <c r="B148" s="16"/>
      <c r="D148" s="293"/>
      <c r="E148" s="293"/>
      <c r="F148" s="293"/>
      <c r="G148" s="293"/>
      <c r="H148" s="293"/>
      <c r="I148" s="293"/>
      <c r="J148" s="293"/>
      <c r="K148" s="293"/>
      <c r="L148" s="4"/>
      <c r="M148" s="16"/>
    </row>
    <row r="149" spans="2:13" x14ac:dyDescent="0.2">
      <c r="B149" s="16"/>
      <c r="D149" s="293"/>
      <c r="E149" s="293"/>
      <c r="F149" s="293"/>
      <c r="G149" s="293"/>
      <c r="H149" s="293"/>
      <c r="I149" s="293"/>
      <c r="J149" s="293"/>
      <c r="K149" s="293"/>
      <c r="L149" s="4"/>
      <c r="M149" s="16"/>
    </row>
    <row r="150" spans="2:13" x14ac:dyDescent="0.2">
      <c r="B150" s="16"/>
      <c r="D150" s="293"/>
      <c r="E150" s="293"/>
      <c r="F150" s="293"/>
      <c r="G150" s="293"/>
      <c r="H150" s="293"/>
      <c r="I150" s="293"/>
      <c r="J150" s="293"/>
      <c r="K150" s="293"/>
      <c r="L150" s="4"/>
      <c r="M150" s="16"/>
    </row>
    <row r="151" spans="2:13" x14ac:dyDescent="0.2">
      <c r="B151" s="16"/>
      <c r="D151" s="293"/>
      <c r="E151" s="293"/>
      <c r="F151" s="293"/>
      <c r="G151" s="293"/>
      <c r="H151" s="293"/>
      <c r="I151" s="293"/>
      <c r="J151" s="293"/>
      <c r="K151" s="293"/>
      <c r="L151" s="4"/>
      <c r="M151" s="16"/>
    </row>
    <row r="152" spans="2:13" x14ac:dyDescent="0.2">
      <c r="B152" s="16"/>
      <c r="D152" s="293"/>
      <c r="E152" s="293"/>
      <c r="F152" s="293"/>
      <c r="G152" s="293"/>
      <c r="H152" s="293"/>
      <c r="I152" s="293"/>
      <c r="J152" s="293"/>
      <c r="K152" s="293"/>
      <c r="L152" s="4"/>
      <c r="M152" s="16"/>
    </row>
    <row r="153" spans="2:13" x14ac:dyDescent="0.2">
      <c r="B153" s="16"/>
      <c r="D153" s="293"/>
      <c r="E153" s="293"/>
      <c r="F153" s="293"/>
      <c r="G153" s="293"/>
      <c r="H153" s="293"/>
      <c r="I153" s="293"/>
      <c r="J153" s="293"/>
      <c r="K153" s="293"/>
      <c r="L153" s="4"/>
      <c r="M153" s="16"/>
    </row>
    <row r="154" spans="2:13" x14ac:dyDescent="0.2">
      <c r="B154" s="16"/>
      <c r="D154" s="293"/>
      <c r="E154" s="293"/>
      <c r="F154" s="293"/>
      <c r="G154" s="293"/>
      <c r="H154" s="293"/>
      <c r="I154" s="293"/>
      <c r="J154" s="293"/>
      <c r="K154" s="293"/>
      <c r="L154" s="4"/>
      <c r="M154" s="16"/>
    </row>
    <row r="155" spans="2:13" ht="15" customHeight="1" x14ac:dyDescent="0.2">
      <c r="B155" s="16"/>
      <c r="M155" s="16"/>
    </row>
    <row r="156" spans="2:13" x14ac:dyDescent="0.2">
      <c r="B156" s="16"/>
      <c r="D156" s="300" t="s">
        <v>138</v>
      </c>
      <c r="E156" s="300"/>
      <c r="F156" s="300"/>
      <c r="G156" s="300"/>
      <c r="H156" s="300"/>
      <c r="I156" s="300"/>
      <c r="J156" s="300"/>
      <c r="K156" s="300"/>
      <c r="L156" s="301"/>
      <c r="M156" s="16"/>
    </row>
    <row r="157" spans="2:13" x14ac:dyDescent="0.2">
      <c r="B157" s="16"/>
      <c r="D157" s="300"/>
      <c r="E157" s="300"/>
      <c r="F157" s="300"/>
      <c r="G157" s="300"/>
      <c r="H157" s="300"/>
      <c r="I157" s="300"/>
      <c r="J157" s="300"/>
      <c r="K157" s="300"/>
      <c r="L157" s="301"/>
      <c r="M157" s="16"/>
    </row>
    <row r="158" spans="2:13" x14ac:dyDescent="0.2">
      <c r="B158" s="16"/>
      <c r="D158" s="297" t="s">
        <v>139</v>
      </c>
      <c r="E158" s="297"/>
      <c r="F158" s="297"/>
      <c r="G158" s="297"/>
      <c r="H158" s="297"/>
      <c r="I158" s="297"/>
      <c r="J158" s="297"/>
      <c r="K158" s="297"/>
      <c r="L158" s="4"/>
      <c r="M158" s="16"/>
    </row>
    <row r="159" spans="2:13" x14ac:dyDescent="0.2">
      <c r="B159" s="16"/>
      <c r="D159" s="297"/>
      <c r="E159" s="297"/>
      <c r="F159" s="297"/>
      <c r="G159" s="297"/>
      <c r="H159" s="297"/>
      <c r="I159" s="297"/>
      <c r="J159" s="297"/>
      <c r="K159" s="297"/>
      <c r="L159" s="4"/>
      <c r="M159" s="16"/>
    </row>
    <row r="160" spans="2:13" x14ac:dyDescent="0.2">
      <c r="B160" s="16"/>
      <c r="D160" s="297"/>
      <c r="E160" s="297"/>
      <c r="F160" s="297"/>
      <c r="G160" s="297"/>
      <c r="H160" s="297"/>
      <c r="I160" s="297"/>
      <c r="J160" s="297"/>
      <c r="K160" s="297"/>
      <c r="L160" s="4"/>
      <c r="M160" s="16"/>
    </row>
    <row r="161" spans="2:13" x14ac:dyDescent="0.2">
      <c r="B161" s="16"/>
      <c r="D161" s="297"/>
      <c r="E161" s="297"/>
      <c r="F161" s="297"/>
      <c r="G161" s="297"/>
      <c r="H161" s="297"/>
      <c r="I161" s="297"/>
      <c r="J161" s="297"/>
      <c r="K161" s="297"/>
      <c r="L161" s="4"/>
      <c r="M161" s="16"/>
    </row>
    <row r="162" spans="2:13" x14ac:dyDescent="0.2">
      <c r="B162" s="16"/>
      <c r="D162" s="297"/>
      <c r="E162" s="297"/>
      <c r="F162" s="297"/>
      <c r="G162" s="297"/>
      <c r="H162" s="297"/>
      <c r="I162" s="297"/>
      <c r="J162" s="297"/>
      <c r="K162" s="297"/>
      <c r="L162" s="266"/>
      <c r="M162" s="16"/>
    </row>
    <row r="163" spans="2:13" x14ac:dyDescent="0.2">
      <c r="B163" s="16"/>
      <c r="M163" s="16"/>
    </row>
    <row r="164" spans="2:13" x14ac:dyDescent="0.2">
      <c r="B164" s="16"/>
      <c r="D164" s="302" t="s">
        <v>140</v>
      </c>
      <c r="E164" s="302"/>
      <c r="F164" s="302"/>
      <c r="G164" s="302"/>
      <c r="H164" s="302"/>
      <c r="I164" s="302"/>
      <c r="J164" s="302"/>
      <c r="K164" s="302"/>
      <c r="L164" s="303"/>
      <c r="M164" s="16"/>
    </row>
    <row r="165" spans="2:13" x14ac:dyDescent="0.2">
      <c r="B165" s="16"/>
      <c r="L165" s="4"/>
      <c r="M165" s="16"/>
    </row>
    <row r="166" spans="2:13" x14ac:dyDescent="0.2">
      <c r="B166" s="16"/>
      <c r="L166" s="4"/>
      <c r="M166" s="16"/>
    </row>
    <row r="167" spans="2:13" x14ac:dyDescent="0.2">
      <c r="B167" s="16"/>
      <c r="L167" s="4"/>
      <c r="M167" s="16"/>
    </row>
    <row r="168" spans="2:13" x14ac:dyDescent="0.2">
      <c r="B168" s="16"/>
      <c r="L168" s="4"/>
      <c r="M168" s="16"/>
    </row>
    <row r="169" spans="2:13" x14ac:dyDescent="0.2">
      <c r="B169" s="16"/>
      <c r="L169" s="4"/>
      <c r="M169" s="16"/>
    </row>
    <row r="170" spans="2:13" x14ac:dyDescent="0.2">
      <c r="B170" s="16"/>
      <c r="L170" s="4"/>
      <c r="M170" s="16"/>
    </row>
    <row r="171" spans="2:13" x14ac:dyDescent="0.2">
      <c r="B171" s="16"/>
      <c r="L171" s="4"/>
      <c r="M171" s="16"/>
    </row>
    <row r="172" spans="2:13" x14ac:dyDescent="0.2">
      <c r="B172" s="16"/>
      <c r="G172" s="175" t="s">
        <v>119</v>
      </c>
      <c r="L172" s="4"/>
      <c r="M172" s="16"/>
    </row>
    <row r="173" spans="2:13" x14ac:dyDescent="0.2">
      <c r="B173" s="16"/>
      <c r="L173" s="4"/>
      <c r="M173" s="16"/>
    </row>
    <row r="174" spans="2:13" x14ac:dyDescent="0.2">
      <c r="B174" s="16"/>
      <c r="L174" s="4"/>
      <c r="M174" s="16"/>
    </row>
    <row r="175" spans="2:13" x14ac:dyDescent="0.2">
      <c r="B175" s="16"/>
      <c r="L175" s="4"/>
      <c r="M175" s="16"/>
    </row>
    <row r="176" spans="2:13" x14ac:dyDescent="0.2">
      <c r="B176" s="16"/>
      <c r="L176" s="4"/>
      <c r="M176" s="16"/>
    </row>
    <row r="177" spans="1:13" x14ac:dyDescent="0.2">
      <c r="B177" s="16"/>
      <c r="L177" s="4"/>
      <c r="M177" s="16"/>
    </row>
    <row r="178" spans="1:13" x14ac:dyDescent="0.2">
      <c r="A178" s="4"/>
      <c r="D178" s="263"/>
      <c r="E178" s="263"/>
      <c r="F178" s="263"/>
      <c r="G178" s="263"/>
      <c r="H178" s="263"/>
      <c r="I178" s="263"/>
      <c r="J178" s="263"/>
      <c r="K178" s="263"/>
      <c r="L178" s="264"/>
      <c r="M178" s="16"/>
    </row>
    <row r="179" spans="1:13" x14ac:dyDescent="0.2">
      <c r="B179" s="13"/>
      <c r="C179" s="13"/>
      <c r="D179" s="13"/>
      <c r="E179" s="13"/>
      <c r="F179" s="13"/>
      <c r="G179" s="13"/>
      <c r="H179" s="13"/>
      <c r="I179" s="13"/>
      <c r="J179" s="13"/>
      <c r="K179" s="13"/>
      <c r="L179" s="13"/>
    </row>
    <row r="181" spans="1:13" x14ac:dyDescent="0.2">
      <c r="B181" s="15"/>
      <c r="C181" s="13"/>
      <c r="D181" s="13"/>
      <c r="E181" s="13"/>
      <c r="F181" s="13"/>
      <c r="G181" s="13"/>
      <c r="H181" s="13"/>
      <c r="I181" s="13"/>
      <c r="J181" s="13"/>
      <c r="K181" s="13"/>
      <c r="L181" s="14"/>
      <c r="M181" s="16"/>
    </row>
    <row r="182" spans="1:13" x14ac:dyDescent="0.2">
      <c r="B182" s="16"/>
      <c r="C182" s="3"/>
      <c r="L182" s="4"/>
      <c r="M182" s="16"/>
    </row>
    <row r="183" spans="1:13" x14ac:dyDescent="0.2">
      <c r="B183" s="16"/>
      <c r="F183" s="5"/>
      <c r="G183" s="5"/>
      <c r="H183" s="5"/>
      <c r="I183" s="5"/>
      <c r="L183" s="4"/>
      <c r="M183" s="16"/>
    </row>
    <row r="184" spans="1:13" x14ac:dyDescent="0.2">
      <c r="B184" s="16"/>
      <c r="F184" s="5"/>
      <c r="G184" s="5"/>
      <c r="H184" s="5"/>
      <c r="I184" s="5"/>
      <c r="L184" s="4"/>
      <c r="M184" s="16"/>
    </row>
    <row r="185" spans="1:13" x14ac:dyDescent="0.2">
      <c r="B185" s="16"/>
      <c r="F185" s="5"/>
      <c r="G185" s="5"/>
      <c r="H185" s="5"/>
      <c r="I185" s="5"/>
      <c r="L185" s="4"/>
      <c r="M185" s="16"/>
    </row>
    <row r="186" spans="1:13" x14ac:dyDescent="0.2">
      <c r="B186" s="16"/>
      <c r="L186" s="4"/>
      <c r="M186" s="16"/>
    </row>
    <row r="187" spans="1:13" ht="15.75" x14ac:dyDescent="0.2">
      <c r="B187" s="16"/>
      <c r="G187" s="203"/>
      <c r="H187" s="203"/>
      <c r="I187" s="203"/>
      <c r="J187" s="203"/>
      <c r="L187" s="4"/>
      <c r="M187" s="16"/>
    </row>
    <row r="188" spans="1:13" x14ac:dyDescent="0.2">
      <c r="B188" s="16"/>
      <c r="D188" s="296" t="s">
        <v>141</v>
      </c>
      <c r="E188" s="296"/>
      <c r="F188" s="296"/>
      <c r="G188" s="296"/>
      <c r="H188" s="296"/>
      <c r="I188" s="296"/>
      <c r="J188" s="296"/>
      <c r="K188" s="296"/>
      <c r="L188" s="4"/>
      <c r="M188" s="16"/>
    </row>
    <row r="189" spans="1:13" ht="14.25" customHeight="1" x14ac:dyDescent="0.2">
      <c r="B189" s="16"/>
      <c r="D189" s="293" t="s">
        <v>142</v>
      </c>
      <c r="E189" s="293"/>
      <c r="F189" s="293"/>
      <c r="G189" s="293"/>
      <c r="H189" s="293"/>
      <c r="I189" s="293"/>
      <c r="J189" s="293"/>
      <c r="K189" s="293"/>
      <c r="L189" s="4"/>
      <c r="M189" s="16"/>
    </row>
    <row r="190" spans="1:13" x14ac:dyDescent="0.2">
      <c r="B190" s="16"/>
      <c r="D190" s="293"/>
      <c r="E190" s="293"/>
      <c r="F190" s="293"/>
      <c r="G190" s="293"/>
      <c r="H190" s="293"/>
      <c r="I190" s="293"/>
      <c r="J190" s="293"/>
      <c r="K190" s="293"/>
      <c r="L190" s="4"/>
      <c r="M190" s="16"/>
    </row>
    <row r="191" spans="1:13" x14ac:dyDescent="0.2">
      <c r="B191" s="16"/>
      <c r="D191" s="293"/>
      <c r="E191" s="293"/>
      <c r="F191" s="293"/>
      <c r="G191" s="293"/>
      <c r="H191" s="293"/>
      <c r="I191" s="293"/>
      <c r="J191" s="293"/>
      <c r="K191" s="293"/>
      <c r="L191" s="4"/>
      <c r="M191" s="16"/>
    </row>
    <row r="192" spans="1:13" x14ac:dyDescent="0.2">
      <c r="B192" s="16"/>
      <c r="D192" s="293"/>
      <c r="E192" s="293"/>
      <c r="F192" s="293"/>
      <c r="G192" s="293"/>
      <c r="H192" s="293"/>
      <c r="I192" s="293"/>
      <c r="J192" s="293"/>
      <c r="K192" s="293"/>
      <c r="L192" s="4"/>
      <c r="M192" s="16"/>
    </row>
    <row r="193" spans="2:13" x14ac:dyDescent="0.2">
      <c r="B193" s="16"/>
      <c r="D193" s="293"/>
      <c r="E193" s="293"/>
      <c r="F193" s="293"/>
      <c r="G193" s="293"/>
      <c r="H193" s="293"/>
      <c r="I193" s="293"/>
      <c r="J193" s="293"/>
      <c r="K193" s="293"/>
      <c r="L193" s="4"/>
      <c r="M193" s="16"/>
    </row>
    <row r="194" spans="2:13" x14ac:dyDescent="0.2">
      <c r="B194" s="16"/>
      <c r="D194" s="293"/>
      <c r="E194" s="293"/>
      <c r="F194" s="293"/>
      <c r="G194" s="293"/>
      <c r="H194" s="293"/>
      <c r="I194" s="293"/>
      <c r="J194" s="293"/>
      <c r="K194" s="293"/>
      <c r="L194" s="4"/>
      <c r="M194" s="16"/>
    </row>
    <row r="195" spans="2:13" x14ac:dyDescent="0.2">
      <c r="B195" s="16"/>
      <c r="D195" s="174"/>
      <c r="E195" s="174"/>
      <c r="F195" s="174"/>
      <c r="G195" s="174"/>
      <c r="H195" s="174"/>
      <c r="I195" s="174"/>
      <c r="J195" s="174"/>
      <c r="K195" s="174"/>
      <c r="L195" s="4"/>
      <c r="M195" s="16"/>
    </row>
    <row r="196" spans="2:13" x14ac:dyDescent="0.2">
      <c r="B196" s="16"/>
      <c r="D196" s="296" t="s">
        <v>143</v>
      </c>
      <c r="E196" s="296"/>
      <c r="F196" s="296"/>
      <c r="G196" s="296"/>
      <c r="H196" s="296"/>
      <c r="I196" s="296"/>
      <c r="J196" s="296"/>
      <c r="K196" s="296"/>
      <c r="L196" s="4"/>
      <c r="M196" s="16"/>
    </row>
    <row r="197" spans="2:13" ht="14.25" customHeight="1" x14ac:dyDescent="0.2">
      <c r="B197" s="16"/>
      <c r="D197" s="293" t="s">
        <v>144</v>
      </c>
      <c r="E197" s="293"/>
      <c r="F197" s="293"/>
      <c r="G197" s="293"/>
      <c r="H197" s="293"/>
      <c r="I197" s="293"/>
      <c r="J197" s="293"/>
      <c r="K197" s="293"/>
      <c r="L197" s="4"/>
      <c r="M197" s="16"/>
    </row>
    <row r="198" spans="2:13" x14ac:dyDescent="0.2">
      <c r="B198" s="16"/>
      <c r="D198" s="293"/>
      <c r="E198" s="293"/>
      <c r="F198" s="293"/>
      <c r="G198" s="293"/>
      <c r="H198" s="293"/>
      <c r="I198" s="293"/>
      <c r="J198" s="293"/>
      <c r="K198" s="293"/>
      <c r="L198" s="4"/>
      <c r="M198" s="16"/>
    </row>
    <row r="199" spans="2:13" x14ac:dyDescent="0.2">
      <c r="B199" s="16"/>
      <c r="D199" s="293"/>
      <c r="E199" s="293"/>
      <c r="F199" s="293"/>
      <c r="G199" s="293"/>
      <c r="H199" s="293"/>
      <c r="I199" s="293"/>
      <c r="J199" s="293"/>
      <c r="K199" s="293"/>
      <c r="L199" s="4"/>
      <c r="M199" s="16"/>
    </row>
    <row r="200" spans="2:13" x14ac:dyDescent="0.2">
      <c r="B200" s="16"/>
      <c r="D200" s="293"/>
      <c r="E200" s="293"/>
      <c r="F200" s="293"/>
      <c r="G200" s="293"/>
      <c r="H200" s="293"/>
      <c r="I200" s="293"/>
      <c r="J200" s="293"/>
      <c r="K200" s="293"/>
      <c r="L200" s="4"/>
      <c r="M200" s="16"/>
    </row>
    <row r="201" spans="2:13" x14ac:dyDescent="0.2">
      <c r="B201" s="16"/>
      <c r="D201" s="293"/>
      <c r="E201" s="293"/>
      <c r="F201" s="293"/>
      <c r="G201" s="293"/>
      <c r="H201" s="293"/>
      <c r="I201" s="293"/>
      <c r="J201" s="293"/>
      <c r="K201" s="293"/>
      <c r="L201" s="4"/>
      <c r="M201" s="16"/>
    </row>
    <row r="202" spans="2:13" x14ac:dyDescent="0.2">
      <c r="B202" s="16"/>
      <c r="D202" s="293"/>
      <c r="E202" s="293"/>
      <c r="F202" s="293"/>
      <c r="G202" s="293"/>
      <c r="H202" s="293"/>
      <c r="I202" s="293"/>
      <c r="J202" s="293"/>
      <c r="K202" s="293"/>
      <c r="L202" s="4"/>
      <c r="M202" s="16"/>
    </row>
    <row r="203" spans="2:13" x14ac:dyDescent="0.2">
      <c r="B203" s="16"/>
      <c r="D203" s="293"/>
      <c r="E203" s="293"/>
      <c r="F203" s="293"/>
      <c r="G203" s="293"/>
      <c r="H203" s="293"/>
      <c r="I203" s="293"/>
      <c r="J203" s="293"/>
      <c r="K203" s="293"/>
      <c r="L203" s="4"/>
      <c r="M203" s="16"/>
    </row>
    <row r="204" spans="2:13" x14ac:dyDescent="0.2">
      <c r="B204" s="16"/>
      <c r="D204" s="174"/>
      <c r="E204" s="174"/>
      <c r="F204" s="174"/>
      <c r="G204" s="174"/>
      <c r="H204" s="174"/>
      <c r="I204" s="174"/>
      <c r="J204" s="174"/>
      <c r="K204" s="174"/>
      <c r="L204" s="4"/>
      <c r="M204" s="16"/>
    </row>
    <row r="205" spans="2:13" x14ac:dyDescent="0.2">
      <c r="B205" s="16"/>
      <c r="D205" s="174"/>
      <c r="E205" s="174"/>
      <c r="F205" s="174"/>
      <c r="G205" s="174"/>
      <c r="H205" s="174"/>
      <c r="I205" s="174"/>
      <c r="J205" s="174"/>
      <c r="K205" s="174"/>
      <c r="L205" s="4"/>
      <c r="M205" s="16"/>
    </row>
    <row r="206" spans="2:13" x14ac:dyDescent="0.2">
      <c r="B206" s="16"/>
      <c r="D206" s="174"/>
      <c r="E206" s="174"/>
      <c r="F206" s="174"/>
      <c r="G206" s="174"/>
      <c r="H206" s="174"/>
      <c r="I206" s="174"/>
      <c r="J206" s="174"/>
      <c r="K206" s="174"/>
      <c r="L206" s="4"/>
      <c r="M206" s="16"/>
    </row>
    <row r="207" spans="2:13" x14ac:dyDescent="0.2">
      <c r="B207" s="16"/>
      <c r="D207" s="174"/>
      <c r="E207" s="174"/>
      <c r="F207" s="174"/>
      <c r="G207" s="174"/>
      <c r="H207" s="174"/>
      <c r="I207" s="174"/>
      <c r="J207" s="174"/>
      <c r="K207" s="174"/>
      <c r="L207" s="4"/>
      <c r="M207" s="16"/>
    </row>
    <row r="208" spans="2:13" x14ac:dyDescent="0.2">
      <c r="B208" s="16"/>
      <c r="D208" s="174"/>
      <c r="E208" s="174"/>
      <c r="F208" s="174"/>
      <c r="G208" s="174"/>
      <c r="H208" s="174"/>
      <c r="I208" s="174"/>
      <c r="J208" s="174"/>
      <c r="K208" s="174"/>
      <c r="L208" s="4"/>
      <c r="M208" s="16"/>
    </row>
    <row r="209" spans="2:13" x14ac:dyDescent="0.2">
      <c r="B209" s="16"/>
      <c r="D209" s="174"/>
      <c r="E209" s="174"/>
      <c r="F209" s="174"/>
      <c r="G209" s="174"/>
      <c r="H209" s="174"/>
      <c r="I209" s="174"/>
      <c r="J209" s="174"/>
      <c r="K209" s="174"/>
      <c r="L209" s="4"/>
      <c r="M209" s="16"/>
    </row>
    <row r="210" spans="2:13" x14ac:dyDescent="0.2">
      <c r="B210" s="16"/>
      <c r="D210" s="174"/>
      <c r="E210" s="174"/>
      <c r="F210" s="174"/>
      <c r="G210" s="174"/>
      <c r="H210" s="174"/>
      <c r="I210" s="174"/>
      <c r="J210" s="174"/>
      <c r="K210" s="174"/>
      <c r="L210" s="4"/>
      <c r="M210" s="16"/>
    </row>
    <row r="211" spans="2:13" x14ac:dyDescent="0.2">
      <c r="B211" s="16"/>
      <c r="D211" s="174"/>
      <c r="E211" s="174"/>
      <c r="F211" s="174"/>
      <c r="G211" s="174"/>
      <c r="H211" s="174"/>
      <c r="I211" s="174"/>
      <c r="J211" s="174"/>
      <c r="K211" s="174"/>
      <c r="L211" s="4"/>
      <c r="M211" s="16"/>
    </row>
    <row r="212" spans="2:13" x14ac:dyDescent="0.2">
      <c r="B212" s="16"/>
      <c r="D212" s="174"/>
      <c r="E212" s="174"/>
      <c r="F212" s="174"/>
      <c r="G212" s="174"/>
      <c r="H212" s="174"/>
      <c r="I212" s="174"/>
      <c r="J212" s="174"/>
      <c r="K212" s="174"/>
      <c r="L212" s="4"/>
      <c r="M212" s="16"/>
    </row>
    <row r="213" spans="2:13" x14ac:dyDescent="0.2">
      <c r="B213" s="16"/>
      <c r="D213" s="204"/>
      <c r="E213" s="204"/>
      <c r="F213" s="204"/>
      <c r="G213" s="204"/>
      <c r="H213" s="204"/>
      <c r="I213" s="204"/>
      <c r="J213" s="204"/>
      <c r="K213" s="204"/>
      <c r="L213" s="205"/>
      <c r="M213" s="16"/>
    </row>
    <row r="214" spans="2:13" ht="14.25" customHeight="1" x14ac:dyDescent="0.2">
      <c r="B214" s="16"/>
      <c r="D214" s="206"/>
      <c r="E214" s="206"/>
      <c r="F214" s="206"/>
      <c r="G214" s="206"/>
      <c r="H214" s="206"/>
      <c r="I214" s="206"/>
      <c r="J214" s="206"/>
      <c r="K214" s="206"/>
      <c r="L214" s="4"/>
      <c r="M214" s="16"/>
    </row>
    <row r="215" spans="2:13" ht="14.25" customHeight="1" x14ac:dyDescent="0.2">
      <c r="B215" s="16"/>
      <c r="D215" s="206"/>
      <c r="E215" s="206"/>
      <c r="F215" s="206"/>
      <c r="G215" s="206"/>
      <c r="H215" s="206"/>
      <c r="I215" s="206"/>
      <c r="J215" s="206"/>
      <c r="K215" s="206"/>
      <c r="L215" s="4"/>
      <c r="M215" s="16"/>
    </row>
    <row r="216" spans="2:13" ht="14.25" customHeight="1" x14ac:dyDescent="0.2">
      <c r="B216" s="16"/>
      <c r="D216" s="206"/>
      <c r="E216" s="206"/>
      <c r="F216" s="206"/>
      <c r="G216" s="206"/>
      <c r="H216" s="206"/>
      <c r="I216" s="206"/>
      <c r="J216" s="206"/>
      <c r="K216" s="206"/>
      <c r="L216" s="4"/>
      <c r="M216" s="16"/>
    </row>
    <row r="217" spans="2:13" ht="14.25" customHeight="1" x14ac:dyDescent="0.2">
      <c r="B217" s="16"/>
      <c r="D217" s="206"/>
      <c r="E217" s="206"/>
      <c r="F217" s="206"/>
      <c r="G217" s="206"/>
      <c r="H217" s="206"/>
      <c r="I217" s="206"/>
      <c r="J217" s="206"/>
      <c r="K217" s="206"/>
      <c r="L217" s="4"/>
      <c r="M217" s="16"/>
    </row>
    <row r="218" spans="2:13" ht="14.25" customHeight="1" x14ac:dyDescent="0.2">
      <c r="B218" s="16"/>
      <c r="D218" s="206"/>
      <c r="E218" s="206"/>
      <c r="F218" s="206"/>
      <c r="G218" s="206"/>
      <c r="H218" s="206"/>
      <c r="I218" s="206"/>
      <c r="J218" s="206"/>
      <c r="K218" s="206"/>
      <c r="L218" s="4"/>
      <c r="M218" s="16"/>
    </row>
    <row r="219" spans="2:13" x14ac:dyDescent="0.2">
      <c r="B219" s="16"/>
      <c r="D219" s="174"/>
      <c r="E219" s="174"/>
      <c r="F219" s="174"/>
      <c r="G219" s="174"/>
      <c r="H219" s="174"/>
      <c r="I219" s="174"/>
      <c r="J219" s="174"/>
      <c r="K219" s="174"/>
      <c r="L219" s="4"/>
      <c r="M219" s="16"/>
    </row>
    <row r="220" spans="2:13" x14ac:dyDescent="0.2">
      <c r="B220" s="16"/>
      <c r="D220" s="204"/>
      <c r="E220" s="204"/>
      <c r="F220" s="204"/>
      <c r="G220" s="204"/>
      <c r="H220" s="204"/>
      <c r="I220" s="204"/>
      <c r="J220" s="204"/>
      <c r="K220" s="204"/>
      <c r="L220" s="205"/>
      <c r="M220" s="16"/>
    </row>
    <row r="221" spans="2:13" x14ac:dyDescent="0.2">
      <c r="B221" s="16"/>
      <c r="D221" s="204"/>
      <c r="E221" s="204"/>
      <c r="F221" s="204"/>
      <c r="G221" s="204"/>
      <c r="H221" s="204"/>
      <c r="I221" s="204"/>
      <c r="J221" s="204"/>
      <c r="K221" s="204"/>
      <c r="L221" s="205"/>
      <c r="M221" s="16"/>
    </row>
    <row r="222" spans="2:13" x14ac:dyDescent="0.2">
      <c r="B222" s="16"/>
      <c r="D222" s="174"/>
      <c r="E222" s="174"/>
      <c r="F222" s="174"/>
      <c r="G222" s="174"/>
      <c r="H222" s="174"/>
      <c r="I222" s="174"/>
      <c r="J222" s="174"/>
      <c r="K222" s="174"/>
      <c r="L222" s="4"/>
      <c r="M222" s="16"/>
    </row>
    <row r="223" spans="2:13" x14ac:dyDescent="0.2">
      <c r="B223" s="16"/>
      <c r="D223" s="174"/>
      <c r="E223" s="174"/>
      <c r="F223" s="174"/>
      <c r="G223" s="174"/>
      <c r="H223" s="174"/>
      <c r="I223" s="174"/>
      <c r="J223" s="174"/>
      <c r="K223" s="174"/>
      <c r="L223" s="4"/>
      <c r="M223" s="16"/>
    </row>
    <row r="224" spans="2:13" x14ac:dyDescent="0.2">
      <c r="B224" s="16"/>
      <c r="L224" s="4"/>
      <c r="M224" s="16"/>
    </row>
    <row r="225" spans="1:13" x14ac:dyDescent="0.2">
      <c r="B225" s="16"/>
      <c r="L225" s="4"/>
      <c r="M225" s="16"/>
    </row>
    <row r="226" spans="1:13" x14ac:dyDescent="0.2">
      <c r="B226" s="16"/>
      <c r="L226" s="4"/>
      <c r="M226" s="16"/>
    </row>
    <row r="227" spans="1:13" x14ac:dyDescent="0.2">
      <c r="B227" s="16"/>
      <c r="L227" s="4"/>
      <c r="M227" s="16"/>
    </row>
    <row r="228" spans="1:13" x14ac:dyDescent="0.2">
      <c r="B228" s="16"/>
      <c r="L228" s="4"/>
      <c r="M228" s="16"/>
    </row>
    <row r="229" spans="1:13" x14ac:dyDescent="0.2">
      <c r="B229" s="16"/>
      <c r="L229" s="4"/>
      <c r="M229" s="16"/>
    </row>
    <row r="230" spans="1:13" x14ac:dyDescent="0.2">
      <c r="B230" s="16"/>
      <c r="L230" s="4"/>
      <c r="M230" s="16"/>
    </row>
    <row r="231" spans="1:13" x14ac:dyDescent="0.2">
      <c r="B231" s="16"/>
      <c r="G231" s="175" t="s">
        <v>121</v>
      </c>
      <c r="L231" s="4"/>
      <c r="M231" s="16"/>
    </row>
    <row r="232" spans="1:13" x14ac:dyDescent="0.2">
      <c r="B232" s="16"/>
      <c r="L232" s="4"/>
      <c r="M232" s="16"/>
    </row>
    <row r="233" spans="1:13" x14ac:dyDescent="0.2">
      <c r="B233" s="16"/>
      <c r="L233" s="4"/>
      <c r="M233" s="16"/>
    </row>
    <row r="234" spans="1:13" x14ac:dyDescent="0.2">
      <c r="B234" s="16"/>
      <c r="L234" s="4"/>
      <c r="M234" s="16"/>
    </row>
    <row r="235" spans="1:13" x14ac:dyDescent="0.2">
      <c r="B235" s="16"/>
      <c r="L235" s="4"/>
      <c r="M235" s="16"/>
    </row>
    <row r="236" spans="1:13" x14ac:dyDescent="0.2">
      <c r="B236" s="16"/>
      <c r="L236" s="4"/>
      <c r="M236" s="16"/>
    </row>
    <row r="237" spans="1:13" x14ac:dyDescent="0.2">
      <c r="A237" s="4"/>
      <c r="L237" s="264"/>
      <c r="M237" s="16"/>
    </row>
    <row r="238" spans="1:13" x14ac:dyDescent="0.2">
      <c r="B238" s="13"/>
      <c r="C238" s="13"/>
      <c r="D238" s="13"/>
      <c r="E238" s="13"/>
      <c r="F238" s="13"/>
      <c r="G238" s="13"/>
      <c r="H238" s="13"/>
      <c r="I238" s="13"/>
      <c r="J238" s="13"/>
      <c r="K238" s="13"/>
      <c r="L238" s="13"/>
    </row>
  </sheetData>
  <sheetProtection password="EC91" sheet="1" objects="1" scenarios="1" selectLockedCells="1"/>
  <mergeCells count="30">
    <mergeCell ref="D197:K203"/>
    <mergeCell ref="D70:K70"/>
    <mergeCell ref="D164:L164"/>
    <mergeCell ref="D75:K75"/>
    <mergeCell ref="D97:K99"/>
    <mergeCell ref="D196:K196"/>
    <mergeCell ref="D188:K188"/>
    <mergeCell ref="D189:K194"/>
    <mergeCell ref="D135:K141"/>
    <mergeCell ref="D96:L96"/>
    <mergeCell ref="D143:K143"/>
    <mergeCell ref="D158:K162"/>
    <mergeCell ref="D144:K154"/>
    <mergeCell ref="D134:K134"/>
    <mergeCell ref="D86:K87"/>
    <mergeCell ref="D129:L129"/>
    <mergeCell ref="D156:L157"/>
    <mergeCell ref="D14:K19"/>
    <mergeCell ref="G21:H21"/>
    <mergeCell ref="G8:J9"/>
    <mergeCell ref="D130:K132"/>
    <mergeCell ref="D71:K73"/>
    <mergeCell ref="D101:K101"/>
    <mergeCell ref="I21:J21"/>
    <mergeCell ref="D81:K84"/>
    <mergeCell ref="E21:F21"/>
    <mergeCell ref="D30:K39"/>
    <mergeCell ref="D88:K94"/>
    <mergeCell ref="D76:K78"/>
    <mergeCell ref="D80:K80"/>
  </mergeCells>
  <printOptions horizontalCentered="1" verticalCentered="1"/>
  <pageMargins left="3.937007874015748E-2" right="3.937007874015748E-2" top="3.937007874015748E-2" bottom="0" header="0.31496062992125984" footer="0.31496062992125984"/>
  <pageSetup paperSize="9" orientation="portrait"/>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BF131"/>
  <sheetViews>
    <sheetView workbookViewId="0">
      <selection activeCell="D8" sqref="D8"/>
    </sheetView>
  </sheetViews>
  <sheetFormatPr defaultRowHeight="12.75" customHeight="1" x14ac:dyDescent="0.2"/>
  <cols>
    <col min="1" max="1" width="1.42578125" style="17" customWidth="1"/>
    <col min="2" max="2" width="4" style="19" customWidth="1"/>
    <col min="3" max="3" width="6.85546875" style="17" customWidth="1"/>
    <col min="4" max="4" width="17.7109375" style="17" customWidth="1"/>
    <col min="5" max="5" width="4.42578125" style="17" customWidth="1"/>
    <col min="6" max="7" width="5.140625" style="37" customWidth="1"/>
    <col min="8" max="11" width="5.140625" style="17" customWidth="1"/>
    <col min="12" max="12" width="5.7109375" style="19" customWidth="1"/>
    <col min="13" max="13" width="6.28515625" style="19" customWidth="1"/>
    <col min="14" max="14" width="6.140625" style="18" customWidth="1"/>
    <col min="15" max="15" width="2.42578125" style="18" customWidth="1"/>
    <col min="16" max="16" width="6.42578125" style="17" customWidth="1"/>
    <col min="17" max="20" width="2.85546875" style="17" customWidth="1"/>
    <col min="21" max="21" width="5.7109375" style="17" customWidth="1"/>
    <col min="22" max="23" width="7.42578125" style="17" customWidth="1"/>
    <col min="24" max="24" width="7.7109375" style="17" customWidth="1"/>
    <col min="25" max="25" width="5.28515625" style="141" customWidth="1"/>
    <col min="26" max="26" width="6.42578125" style="141" customWidth="1"/>
    <col min="27" max="27" width="7.7109375" style="141" customWidth="1"/>
    <col min="28" max="28" width="7.85546875" style="141" hidden="1" customWidth="1"/>
    <col min="29" max="32" width="12.42578125" style="141" hidden="1" customWidth="1"/>
    <col min="33" max="33" width="8" style="141" hidden="1" customWidth="1"/>
    <col min="34" max="34" width="9.140625" style="141" hidden="1" customWidth="1"/>
    <col min="35" max="45" width="7.7109375" style="141" hidden="1" customWidth="1"/>
    <col min="46" max="48" width="12.140625" style="141" hidden="1" customWidth="1"/>
    <col min="49" max="51" width="9.85546875" style="141" hidden="1" customWidth="1"/>
    <col min="52" max="256" width="11.42578125" style="17" customWidth="1"/>
    <col min="257" max="16384" width="9.140625" style="17"/>
  </cols>
  <sheetData>
    <row r="1" spans="1:58" ht="5.25" customHeight="1" x14ac:dyDescent="0.2"/>
    <row r="2" spans="1:58" ht="12.75" customHeight="1" x14ac:dyDescent="0.2">
      <c r="D2" s="455" t="str">
        <f>CONCATENATE("Utilisateur: ",Configuration!H17)</f>
        <v xml:space="preserve">Utilisateur: </v>
      </c>
      <c r="E2" s="455"/>
      <c r="F2" s="455"/>
      <c r="G2" s="455"/>
      <c r="I2" s="456" t="s">
        <v>174</v>
      </c>
      <c r="J2" s="438"/>
      <c r="K2" s="438"/>
      <c r="L2" s="438"/>
      <c r="M2" s="18"/>
      <c r="N2" s="456" t="s">
        <v>177</v>
      </c>
      <c r="O2" s="438"/>
      <c r="P2" s="438"/>
      <c r="Q2" s="438"/>
      <c r="R2" s="439" t="s">
        <v>179</v>
      </c>
      <c r="S2" s="439"/>
      <c r="T2" s="20"/>
    </row>
    <row r="3" spans="1:58" ht="12.75" customHeight="1" x14ac:dyDescent="0.2">
      <c r="D3" s="440" t="str">
        <f>Configuration!G8</f>
        <v>OTT Tool 2024</v>
      </c>
      <c r="E3" s="440"/>
      <c r="F3" s="440"/>
      <c r="G3" s="440"/>
      <c r="I3" s="26"/>
      <c r="J3" s="438" t="s">
        <v>175</v>
      </c>
      <c r="K3" s="438"/>
      <c r="L3" s="438"/>
      <c r="M3" s="45">
        <f>IF(Jun!$F$47="Oui",Jun!F51,0)</f>
        <v>0</v>
      </c>
      <c r="N3" s="456" t="s">
        <v>178</v>
      </c>
      <c r="O3" s="438"/>
      <c r="P3" s="438"/>
      <c r="Q3" s="438"/>
      <c r="R3" s="439" t="s">
        <v>180</v>
      </c>
      <c r="S3" s="439"/>
      <c r="T3" s="20"/>
    </row>
    <row r="4" spans="1:58" ht="12.75" customHeight="1" x14ac:dyDescent="0.2">
      <c r="D4" s="440" t="s">
        <v>173</v>
      </c>
      <c r="E4" s="440"/>
      <c r="F4" s="440"/>
      <c r="G4" s="440"/>
      <c r="I4" s="20"/>
      <c r="J4" s="438" t="s">
        <v>176</v>
      </c>
      <c r="K4" s="438"/>
      <c r="L4" s="438"/>
      <c r="M4" s="45">
        <f>IF(Jun!$F$47="Oui",Jun!F52,Jun!M4)</f>
        <v>0</v>
      </c>
      <c r="N4" s="21"/>
      <c r="O4" s="19"/>
      <c r="Q4" s="18"/>
      <c r="T4" s="20"/>
      <c r="AB4" s="443" t="s">
        <v>259</v>
      </c>
      <c r="AC4" s="432" t="s">
        <v>160</v>
      </c>
      <c r="AD4" s="432" t="s">
        <v>255</v>
      </c>
      <c r="AE4" s="432" t="s">
        <v>166</v>
      </c>
      <c r="AF4" s="454" t="s">
        <v>168</v>
      </c>
      <c r="AG4" s="429" t="s">
        <v>45</v>
      </c>
      <c r="AJ4" s="121"/>
      <c r="AO4" s="426" t="s">
        <v>48</v>
      </c>
      <c r="AP4" s="427"/>
      <c r="AQ4" s="427"/>
      <c r="AR4" s="428"/>
      <c r="AS4" s="430" t="s">
        <v>52</v>
      </c>
      <c r="AT4" s="431" t="s">
        <v>53</v>
      </c>
      <c r="AU4" s="431" t="s">
        <v>60</v>
      </c>
      <c r="AV4" s="418" t="s">
        <v>62</v>
      </c>
      <c r="AW4" s="432" t="s">
        <v>63</v>
      </c>
    </row>
    <row r="5" spans="1:58" ht="12.75" customHeight="1" x14ac:dyDescent="0.2">
      <c r="B5" s="35"/>
      <c r="AB5" s="443"/>
      <c r="AC5" s="432"/>
      <c r="AD5" s="432"/>
      <c r="AE5" s="432"/>
      <c r="AF5" s="454"/>
      <c r="AG5" s="429"/>
      <c r="AH5" s="426" t="s">
        <v>47</v>
      </c>
      <c r="AI5" s="427"/>
      <c r="AJ5" s="428"/>
      <c r="AK5" s="426" t="s">
        <v>46</v>
      </c>
      <c r="AL5" s="427"/>
      <c r="AM5" s="427"/>
      <c r="AN5" s="428"/>
      <c r="AO5" s="105" t="s">
        <v>49</v>
      </c>
      <c r="AP5" s="94" t="s">
        <v>50</v>
      </c>
      <c r="AQ5" s="94" t="s">
        <v>51</v>
      </c>
      <c r="AR5" s="112" t="s">
        <v>46</v>
      </c>
      <c r="AS5" s="430"/>
      <c r="AT5" s="431"/>
      <c r="AU5" s="431"/>
      <c r="AV5" s="418"/>
      <c r="AW5" s="432"/>
    </row>
    <row r="6" spans="1:58" ht="12.75" customHeight="1" x14ac:dyDescent="0.2">
      <c r="A6" s="34"/>
      <c r="B6" s="419" t="s">
        <v>181</v>
      </c>
      <c r="C6" s="421" t="s">
        <v>182</v>
      </c>
      <c r="D6" s="421" t="s">
        <v>183</v>
      </c>
      <c r="E6" s="423" t="s">
        <v>184</v>
      </c>
      <c r="F6" s="446" t="s">
        <v>111</v>
      </c>
      <c r="G6" s="447"/>
      <c r="H6" s="433" t="s">
        <v>111</v>
      </c>
      <c r="I6" s="434"/>
      <c r="J6" s="433" t="s">
        <v>111</v>
      </c>
      <c r="K6" s="434"/>
      <c r="L6" s="433" t="s">
        <v>185</v>
      </c>
      <c r="M6" s="435"/>
      <c r="N6" s="434"/>
      <c r="O6" s="436" t="s">
        <v>41</v>
      </c>
      <c r="P6" s="437"/>
      <c r="Q6" s="433" t="s">
        <v>189</v>
      </c>
      <c r="R6" s="435"/>
      <c r="S6" s="435"/>
      <c r="T6" s="434"/>
      <c r="U6" s="27" t="s">
        <v>190</v>
      </c>
      <c r="V6" s="27" t="s">
        <v>191</v>
      </c>
      <c r="W6" s="27" t="s">
        <v>191</v>
      </c>
      <c r="X6" s="444" t="s">
        <v>192</v>
      </c>
      <c r="Y6" s="137" t="s">
        <v>195</v>
      </c>
      <c r="Z6" s="421" t="s">
        <v>245</v>
      </c>
      <c r="AA6" s="137" t="s">
        <v>246</v>
      </c>
      <c r="AB6" s="443"/>
      <c r="AC6" s="432"/>
      <c r="AD6" s="432"/>
      <c r="AE6" s="432"/>
      <c r="AF6" s="454"/>
      <c r="AG6" s="429"/>
      <c r="AH6" s="102">
        <v>0.79166666666666663</v>
      </c>
      <c r="AI6" s="100">
        <v>0</v>
      </c>
      <c r="AJ6" s="104">
        <v>0.79166666666666663</v>
      </c>
      <c r="AK6" s="120">
        <v>0.91666666666666663</v>
      </c>
      <c r="AL6" s="100">
        <v>0</v>
      </c>
      <c r="AM6" s="96">
        <v>0.79166666666666663</v>
      </c>
      <c r="AN6" s="104">
        <v>0.91666666666666663</v>
      </c>
      <c r="AO6" s="113">
        <v>0.25</v>
      </c>
      <c r="AP6" s="114">
        <v>0.5</v>
      </c>
      <c r="AQ6" s="114">
        <v>0.75</v>
      </c>
      <c r="AR6" s="115">
        <v>0</v>
      </c>
      <c r="AS6" s="430"/>
      <c r="AT6" s="431"/>
      <c r="AU6" s="431"/>
      <c r="AV6" s="418"/>
      <c r="AW6" s="432"/>
      <c r="AZ6" s="22"/>
      <c r="BA6" s="23"/>
    </row>
    <row r="7" spans="1:58" ht="12.75" customHeight="1" x14ac:dyDescent="0.2">
      <c r="A7" s="34"/>
      <c r="B7" s="420"/>
      <c r="C7" s="422"/>
      <c r="D7" s="422"/>
      <c r="E7" s="424"/>
      <c r="F7" s="38" t="s">
        <v>112</v>
      </c>
      <c r="G7" s="39" t="s">
        <v>113</v>
      </c>
      <c r="H7" s="28" t="s">
        <v>112</v>
      </c>
      <c r="I7" s="139" t="s">
        <v>113</v>
      </c>
      <c r="J7" s="28" t="s">
        <v>112</v>
      </c>
      <c r="K7" s="139" t="s">
        <v>113</v>
      </c>
      <c r="L7" s="28" t="s">
        <v>186</v>
      </c>
      <c r="M7" s="29" t="s">
        <v>187</v>
      </c>
      <c r="N7" s="139" t="s">
        <v>44</v>
      </c>
      <c r="O7" s="441" t="s">
        <v>188</v>
      </c>
      <c r="P7" s="442"/>
      <c r="Q7" s="31" t="s">
        <v>198</v>
      </c>
      <c r="R7" s="32" t="s">
        <v>42</v>
      </c>
      <c r="S7" s="32" t="s">
        <v>199</v>
      </c>
      <c r="T7" s="140" t="s">
        <v>200</v>
      </c>
      <c r="U7" s="30" t="s">
        <v>43</v>
      </c>
      <c r="V7" s="33" t="s">
        <v>193</v>
      </c>
      <c r="W7" s="33" t="s">
        <v>194</v>
      </c>
      <c r="X7" s="445"/>
      <c r="Y7" s="138" t="s">
        <v>196</v>
      </c>
      <c r="Z7" s="422"/>
      <c r="AA7" s="138" t="s">
        <v>247</v>
      </c>
      <c r="AB7" s="443"/>
      <c r="AC7" s="432"/>
      <c r="AD7" s="432"/>
      <c r="AE7" s="432"/>
      <c r="AF7" s="454"/>
      <c r="AG7" s="429"/>
      <c r="AH7" s="102">
        <v>1</v>
      </c>
      <c r="AI7" s="100">
        <v>0.29166666666666669</v>
      </c>
      <c r="AJ7" s="104">
        <v>0.29166666666666669</v>
      </c>
      <c r="AK7" s="102">
        <v>1</v>
      </c>
      <c r="AL7" s="99">
        <v>0.25</v>
      </c>
      <c r="AM7" s="95">
        <v>0.91666666666666663</v>
      </c>
      <c r="AN7" s="103">
        <v>0.25</v>
      </c>
      <c r="AO7" s="106">
        <v>0.33333333333333331</v>
      </c>
      <c r="AP7" s="96">
        <v>0.58333333333333337</v>
      </c>
      <c r="AQ7" s="96">
        <v>0.83333333333333337</v>
      </c>
      <c r="AR7" s="104">
        <v>8.3333333333333329E-2</v>
      </c>
      <c r="AS7" s="430"/>
      <c r="AT7" s="431"/>
      <c r="AU7" s="431"/>
      <c r="AV7" s="418"/>
      <c r="AW7" s="432"/>
      <c r="AZ7" s="22" t="s">
        <v>197</v>
      </c>
      <c r="BA7" s="23"/>
    </row>
    <row r="8" spans="1:58" ht="12.75" customHeight="1" x14ac:dyDescent="0.2">
      <c r="A8" s="34"/>
      <c r="B8" s="59" t="str">
        <f t="shared" ref="B8:B38" si="0">CHOOSE(WEEKDAY(C8),"Di","Lu","Ma","Me","Je","Ve","Sa")</f>
        <v>Lu</v>
      </c>
      <c r="C8" s="60">
        <f>DATE(RIGHT(Configuration!$G$8,4),7,1)</f>
        <v>45474</v>
      </c>
      <c r="D8" s="61"/>
      <c r="E8" s="62"/>
      <c r="F8" s="63"/>
      <c r="G8" s="64"/>
      <c r="H8" s="63"/>
      <c r="I8" s="64"/>
      <c r="J8" s="63"/>
      <c r="K8" s="64"/>
      <c r="L8" s="40">
        <f t="shared" ref="L8:L38" si="1">(G8-F8)+(I8-H8)+(K8-J8)+SUM(AB8,AC8,AD8,AE8,AF8,AG8)</f>
        <v>0</v>
      </c>
      <c r="M8" s="65">
        <f>L8+M3+IF(Jun!F47="Non",Jun!M37,0)</f>
        <v>0</v>
      </c>
      <c r="N8" s="66">
        <f>IF(AND(D8&lt;&gt;"Jour libre 4/5",B8&lt;&gt;"Sa",B8&lt;&gt;"Di"),SUM(N7,Configuration!$H$41),SUM(N7))+IF(Jun!F47="Non",Jun!N37,0)</f>
        <v>0.31666666666666665</v>
      </c>
      <c r="O8" s="48" t="str">
        <f>IF(M8-N8-$M$4&gt;=0,"+","-")</f>
        <v>-</v>
      </c>
      <c r="P8" s="67">
        <f>ABS(M8-N8-$M$4)</f>
        <v>0.31666666666666665</v>
      </c>
      <c r="Q8" s="164">
        <f>AO8</f>
        <v>0</v>
      </c>
      <c r="R8" s="165">
        <f>AP8</f>
        <v>0</v>
      </c>
      <c r="S8" s="165">
        <f>AQ8</f>
        <v>0</v>
      </c>
      <c r="T8" s="166">
        <f>AR8</f>
        <v>0</v>
      </c>
      <c r="U8" s="93">
        <f t="shared" ref="U8:U38" si="2">IF(OR(AND(D8="Jour férié semaine",((G8-F8)+(I8-H8)+(K8-J8&gt;0))),B8="Sa",B8="Di"),L8,0)</f>
        <v>0</v>
      </c>
      <c r="V8" s="93">
        <f t="shared" ref="V8:V38" si="3">IF($R$2="Oui",AM8,0)</f>
        <v>0</v>
      </c>
      <c r="W8" s="93">
        <f t="shared" ref="W8:W38" si="4">IF($R$2="Oui",AN8,0)</f>
        <v>0</v>
      </c>
      <c r="X8" s="93">
        <f t="shared" ref="X8:X38" si="5">IF($R$3="Oui",AJ8,0)</f>
        <v>0</v>
      </c>
      <c r="Y8" s="207"/>
      <c r="Z8" s="208"/>
      <c r="AA8" s="208"/>
      <c r="AB8" s="128">
        <f>IF(AND(D8="Jour férié semaine",((G8-F8)+(I8-H8)+(K8-J8)=0)),VLOOKUP(D8,Systeemgegevens!$J:$K,2,FALSE),0)</f>
        <v>0</v>
      </c>
      <c r="AC8" s="43">
        <f>IF(AND(NOT(ISERROR(FIND("Congé",D8))),ISERROR(FIND("1/2",D8)),ISERROR(FIND("Synd",D8)),ISERROR(FIND("synd",D8)),(G8-F8+I8-H8+K8-J8)=0),VLOOKUP(D8,Systeemgegevens!$J:$K,2,FALSE),IF(AND(NOT(ISERROR(FIND("1/2 Congé + ",D8))),(G8-F8+I8-H8+K8-J8)=0),VLOOKUP(D8,Systeemgegevens!$J:$K,2,FALSE)/2,IF(AND(NOT(ISERROR(FIND("1/2 Congé",D8))),ISERROR(FIND(" + ",D8)),ISERROR(FIND("1/2 Congé Synd.",D8))),VLOOKUP(D8,Systeemgegevens!$J:$K,2,FALSE),0)))</f>
        <v>0</v>
      </c>
      <c r="AD8" s="43">
        <f>IF(AND(OR(D8="1/2 Congé Synd.",D8="Congé Synd."),((G8-F8)+(I8-H8)+(K8-J8)=0)),VLOOKUP(D8,Systeemgegevens!$J:$K,2,FALSE),IF(AND(D8="1/2 Congé + 1/2 synd.",((G8-F8)+(I8-H8)+(K8-J8)=0)),AC8,0))</f>
        <v>0</v>
      </c>
      <c r="AE8" s="43">
        <f>IF(AND(D8="Jour de pont",((G8-F8)+(I8-H8)+(K8-J8)=0)),VLOOKUP(D8,Systeemgegevens!$J:$K,2,FALSE),0)</f>
        <v>0</v>
      </c>
      <c r="AF8" s="43">
        <f>IF(AND(D8="Jour libre 4/5",AND((G8-F8)+(I8-H8)+(K8-J8)=0)),VLOOKUP(D8,Systeemgegevens!$J:$K,2,FALSE),0)</f>
        <v>0</v>
      </c>
      <c r="AG8" s="118">
        <f>IF(AND(D8&lt;&gt;"",SUM(AB8:AF8)=0,D8&lt;&gt;$AB$4,D8&lt;&gt;$AC$4,D8&lt;&gt;$AD$4,D8&lt;&gt;$AE$4,D8&lt;&gt;$AF$4),VLOOKUP(D8,Systeemgegevens!$J:$K,2,FALSE),0)</f>
        <v>0</v>
      </c>
      <c r="AH8" s="119">
        <f t="shared" ref="AH8:AH38" si="6">SUM(IF(AND(G8&gt;$AH$6,F8&lt;=$AH$6),G8-$AH$6,0),IF(F8&gt;$AH$6,G8-F8,0),IF(AND(I8&gt;$AH$6,H8&lt;=$AH$6),I8-$AH$6,0),IF(H8&gt;$AH$6,I8-H8,0),IF(AND(K8&gt;$AH$6,J8&lt;=$AH$6),K8-$AH$6,0),IF(J8&gt;$AH$6,K8-J8,0))</f>
        <v>0</v>
      </c>
      <c r="AI8" s="101">
        <f t="shared" ref="AI8:AI38" si="7">SUM(IF(AND(G8&gt;=$AI$7,F8&lt;$AI$7),$AI$7-F8,0),IF(G8&lt;$AI$7,G8-F8,0),IF(AND(I8&gt;=$AI$7,H8&lt;$AI$7),$AI$7-H8,0),IF(I8&lt;$AI$7,I8-H8,0),IF(AND(K8&gt;=$AI$7,J8&lt;$AI$7),$AI$7-J8,0),IF(K8&lt;$AI$7,K8-J8,0))</f>
        <v>0</v>
      </c>
      <c r="AJ8" s="118">
        <f>SUM(AH8:AI8)</f>
        <v>0</v>
      </c>
      <c r="AK8" s="119">
        <f t="shared" ref="AK8:AK38" si="8">SUM(IF(AND(G8&gt;$AK$6,F8&lt;=$AK$6),G8-$AK$6,0),IF(F8&gt;$AK$6,G8-F8,0),IF(AND(I8&gt;$AK$6,H8&lt;=$AK$6),I8-$AK$6,0),IF(H8&gt;$AK$6,I8-H8,0),IF(AND(K8&gt;$AK$6,J8&lt;=$AK$6),K8-$AK$6,0),IF(J8&gt;$AK$6,K8-J8,0))</f>
        <v>0</v>
      </c>
      <c r="AL8" s="101">
        <f t="shared" ref="AL8:AL38" si="9">SUM(IF(AND(G8&gt;=$AL$7,F8&lt;$AL$7),$AL$7-F8,0),IF(G8&lt;$AL$7,G8-F8,0),IF(AND(I8&gt;=$AL$7,H8&lt;$AL$7),$AL$7-H8,0),IF(I8&lt;$AL$7,I8-H8,0),IF(AND(K8&gt;=$AL$7,J8&lt;$AL$7),$AL$7-J8,0),IF(K8&lt;$AL$7,K8-J8,0))</f>
        <v>0</v>
      </c>
      <c r="AM8" s="43">
        <f>AH8-AK8</f>
        <v>0</v>
      </c>
      <c r="AN8" s="118">
        <f>AK8+AL8</f>
        <v>0</v>
      </c>
      <c r="AO8" s="122">
        <f t="shared" ref="AO8:AO38" si="10">SUM(IF(AND(F8&lt;=$AO$6,G8&gt;=$AO$7),1,0),IF(AND(H8&lt;=$AO$6,I8&gt;=$AO$7),1,0),IF(AND(J8&lt;=$AO$6,K8&gt;=$AO$7),1,0))</f>
        <v>0</v>
      </c>
      <c r="AP8" s="107">
        <f t="shared" ref="AP8:AP38" si="11">SUM(IF(AND(F8&lt;=$AP$6,G8&gt;=$AP$7),1,0),IF(AND(H8&lt;=$AP$6,I8&gt;=$AP$7),1,0),IF(AND(J8&lt;=$AP$6,K8&gt;=$AP$7),1,0))</f>
        <v>0</v>
      </c>
      <c r="AQ8" s="107">
        <f t="shared" ref="AQ8:AQ38" si="12">SUM(IF(AND(F8&lt;=$AQ$6,G8&gt;=$AQ$7),1,0),IF(AND(H8&lt;=$AQ$6,I8&gt;=$AQ$7),1,0),IF(AND(J8&lt;=$AQ$6,K8&gt;=$AQ$7),1,0))</f>
        <v>0</v>
      </c>
      <c r="AR8" s="123">
        <f t="shared" ref="AR8:AR38" si="13">SUM(IF(AND(F8&lt;=$AR$6,G8&gt;=$AR$7),1,0),IF(AND(H8&lt;=$AR$6,I8&gt;=$AR$7),1,0),IF(AND(J8&lt;=$AR$6,K8&gt;=$AR$7),1,0))</f>
        <v>0</v>
      </c>
      <c r="AS8" s="124">
        <f t="shared" ref="AS8:AS38" si="14">IF(OR(E8="M",E8="ME"),1,0)</f>
        <v>0</v>
      </c>
      <c r="AT8" s="124">
        <f t="shared" ref="AT8:AT38" si="15">IF(OR(E8="E",E8="ME"),1,0)</f>
        <v>0</v>
      </c>
      <c r="AU8" s="124">
        <f t="shared" ref="AU8:AU38" si="16">IF(AND(OR(D8="Jour férié semaine",D8="Jour de pont"),((G8-F8)+(I8-H8)+(K8-J8)&gt;0)),1,0)</f>
        <v>0</v>
      </c>
      <c r="AV8" s="117" t="s">
        <v>36</v>
      </c>
      <c r="AW8" s="129">
        <f>IF(($R$41=AV8)*AND($R$42&lt;&gt;""),VLOOKUP($R$42,'Barèmes police'!$B$4:$C$30,2),0)</f>
        <v>14703.88</v>
      </c>
      <c r="AX8" s="15"/>
      <c r="AY8" s="14"/>
      <c r="AZ8" s="269"/>
      <c r="BA8" s="154"/>
      <c r="BB8" s="154"/>
      <c r="BC8" s="154"/>
      <c r="BD8" s="154"/>
      <c r="BE8" s="154"/>
      <c r="BF8" s="154"/>
    </row>
    <row r="9" spans="1:58" ht="12.75" customHeight="1" x14ac:dyDescent="0.2">
      <c r="A9" s="34"/>
      <c r="B9" s="24" t="str">
        <f t="shared" si="0"/>
        <v>Ma</v>
      </c>
      <c r="C9" s="25">
        <f>C8+1</f>
        <v>45475</v>
      </c>
      <c r="D9" s="51"/>
      <c r="E9" s="116"/>
      <c r="F9" s="52"/>
      <c r="G9" s="53"/>
      <c r="H9" s="52"/>
      <c r="I9" s="53"/>
      <c r="J9" s="54"/>
      <c r="K9" s="55"/>
      <c r="L9" s="40">
        <f t="shared" si="1"/>
        <v>0</v>
      </c>
      <c r="M9" s="41">
        <f>M8+L9</f>
        <v>0</v>
      </c>
      <c r="N9" s="42">
        <f>IF(AND(D9&lt;&gt;"Jour libre 4/5",B9&lt;&gt;"Sa",B9&lt;&gt;"Di"),SUM(N8,Configuration!$H$41),SUM(N8))</f>
        <v>0.6333333333333333</v>
      </c>
      <c r="O9" s="49" t="str">
        <f>IF(M9-N9-$M$4&gt;=0,"+","-")</f>
        <v>-</v>
      </c>
      <c r="P9" s="143">
        <f t="shared" ref="P9:P38" si="17">ABS(M9-N9-$M$4)</f>
        <v>0.6333333333333333</v>
      </c>
      <c r="Q9" s="167">
        <f t="shared" ref="Q9:T38" si="18">AO9</f>
        <v>0</v>
      </c>
      <c r="R9" s="168">
        <f t="shared" si="18"/>
        <v>0</v>
      </c>
      <c r="S9" s="168">
        <f t="shared" si="18"/>
        <v>0</v>
      </c>
      <c r="T9" s="169">
        <f t="shared" si="18"/>
        <v>0</v>
      </c>
      <c r="U9" s="97">
        <f t="shared" si="2"/>
        <v>0</v>
      </c>
      <c r="V9" s="97">
        <f t="shared" si="3"/>
        <v>0</v>
      </c>
      <c r="W9" s="97">
        <f t="shared" si="4"/>
        <v>0</v>
      </c>
      <c r="X9" s="97">
        <f t="shared" si="5"/>
        <v>0</v>
      </c>
      <c r="Y9" s="209"/>
      <c r="Z9" s="210"/>
      <c r="AA9" s="210"/>
      <c r="AB9" s="128">
        <f>IF(AND(D9="Jour férié semaine",((G9-F9)+(I9-H9)+(K9-J9)=0)),VLOOKUP(D9,Systeemgegevens!$J:$K,2,FALSE),0)</f>
        <v>0</v>
      </c>
      <c r="AC9" s="43">
        <f>IF(AND(NOT(ISERROR(FIND("Congé",D9))),ISERROR(FIND("1/2",D9)),ISERROR(FIND("Synd",D9)),ISERROR(FIND("synd",D9)),(G9-F9+I9-H9+K9-J9)=0),VLOOKUP(D9,Systeemgegevens!$J:$K,2,FALSE),IF(AND(NOT(ISERROR(FIND("1/2 Congé + ",D9))),(G9-F9+I9-H9+K9-J9)=0),VLOOKUP(D9,Systeemgegevens!$J:$K,2,FALSE)/2,IF(AND(NOT(ISERROR(FIND("1/2 Congé",D9))),ISERROR(FIND(" + ",D9)),ISERROR(FIND("1/2 Congé Synd.",D9))),VLOOKUP(D9,Systeemgegevens!$J:$K,2,FALSE),0)))</f>
        <v>0</v>
      </c>
      <c r="AD9" s="43">
        <f>IF(AND(OR(D9="1/2 Congé Synd.",D9="Congé Synd."),((G9-F9)+(I9-H9)+(K9-J9)=0)),VLOOKUP(D9,Systeemgegevens!$J:$K,2,FALSE),IF(AND(D9="1/2 Congé + 1/2 synd.",((G9-F9)+(I9-H9)+(K9-J9)=0)),AC9,0))</f>
        <v>0</v>
      </c>
      <c r="AE9" s="43">
        <f>IF(AND(D9="Jour de pont",((G9-F9)+(I9-H9)+(K9-J9)=0)),VLOOKUP(D9,Systeemgegevens!$J:$K,2,FALSE),0)</f>
        <v>0</v>
      </c>
      <c r="AF9" s="43">
        <f>IF(AND(D9="Jour libre 4/5",AND((G9-F9)+(I9-H9)+(K9-J9)=0)),VLOOKUP(D9,Systeemgegevens!$J:$K,2,FALSE),0)</f>
        <v>0</v>
      </c>
      <c r="AG9" s="118">
        <f>IF(AND(D9&lt;&gt;"",SUM(AB9:AF9)=0,D9&lt;&gt;$AB$4,D9&lt;&gt;$AC$4,D9&lt;&gt;$AE$4,D9&lt;&gt;$AF$4),VLOOKUP(D9,Systeemgegevens!$J:$K,2,FALSE),0)</f>
        <v>0</v>
      </c>
      <c r="AH9" s="119">
        <f t="shared" si="6"/>
        <v>0</v>
      </c>
      <c r="AI9" s="101">
        <f t="shared" si="7"/>
        <v>0</v>
      </c>
      <c r="AJ9" s="118">
        <f t="shared" ref="AJ9:AJ38" si="19">SUM(AH9:AI9)</f>
        <v>0</v>
      </c>
      <c r="AK9" s="119">
        <f t="shared" si="8"/>
        <v>0</v>
      </c>
      <c r="AL9" s="101">
        <f t="shared" si="9"/>
        <v>0</v>
      </c>
      <c r="AM9" s="43">
        <f t="shared" ref="AM9:AM38" si="20">AH9-AK9</f>
        <v>0</v>
      </c>
      <c r="AN9" s="118">
        <f t="shared" ref="AN9:AN38" si="21">AK9+AL9</f>
        <v>0</v>
      </c>
      <c r="AO9" s="122">
        <f t="shared" si="10"/>
        <v>0</v>
      </c>
      <c r="AP9" s="107">
        <f t="shared" si="11"/>
        <v>0</v>
      </c>
      <c r="AQ9" s="107">
        <f t="shared" si="12"/>
        <v>0</v>
      </c>
      <c r="AR9" s="123">
        <f t="shared" si="13"/>
        <v>0</v>
      </c>
      <c r="AS9" s="124">
        <f t="shared" si="14"/>
        <v>0</v>
      </c>
      <c r="AT9" s="124">
        <f t="shared" si="15"/>
        <v>0</v>
      </c>
      <c r="AU9" s="124">
        <f t="shared" si="16"/>
        <v>0</v>
      </c>
      <c r="AV9" s="117" t="s">
        <v>35</v>
      </c>
      <c r="AW9" s="129">
        <f>IF(($R$41=AV9)*AND($R$42&lt;&gt;""),VLOOKUP($R$42,'Barèmes police'!$E$4:$F$30,2),0)</f>
        <v>0</v>
      </c>
      <c r="AX9" s="16" t="str">
        <f>IF('Types de jours'!F15&lt;&gt;"",'Types de jours'!F15,"")</f>
        <v>Congé</v>
      </c>
      <c r="AY9" s="144">
        <f>IF(AX9&lt;&gt;"",'Types de jours'!I15,"")</f>
        <v>0.31666666666666665</v>
      </c>
      <c r="AZ9" s="269"/>
      <c r="BA9" s="154"/>
      <c r="BB9" s="154"/>
      <c r="BC9" s="154"/>
      <c r="BD9" s="154"/>
      <c r="BE9" s="154"/>
      <c r="BF9" s="154"/>
    </row>
    <row r="10" spans="1:58" ht="12.75" customHeight="1" x14ac:dyDescent="0.2">
      <c r="A10" s="34"/>
      <c r="B10" s="24" t="str">
        <f t="shared" si="0"/>
        <v>Me</v>
      </c>
      <c r="C10" s="25">
        <f t="shared" ref="C10:C38" si="22">C9+1</f>
        <v>45476</v>
      </c>
      <c r="D10" s="51"/>
      <c r="E10" s="116"/>
      <c r="F10" s="52"/>
      <c r="G10" s="53"/>
      <c r="H10" s="52"/>
      <c r="I10" s="53"/>
      <c r="J10" s="54"/>
      <c r="K10" s="55"/>
      <c r="L10" s="40">
        <f t="shared" si="1"/>
        <v>0</v>
      </c>
      <c r="M10" s="41">
        <f t="shared" ref="M10:M37" si="23">M9+L10</f>
        <v>0</v>
      </c>
      <c r="N10" s="42">
        <f>IF(AND(D10&lt;&gt;"Jour libre 4/5",B10&lt;&gt;"Sa",B10&lt;&gt;"Di"),SUM(N9,Configuration!$H$41),SUM(N9))</f>
        <v>0.95</v>
      </c>
      <c r="O10" s="49" t="str">
        <f t="shared" ref="O10:O38" si="24">IF(M10-N10-$M$4&gt;=0,"+","-")</f>
        <v>-</v>
      </c>
      <c r="P10" s="143">
        <f t="shared" si="17"/>
        <v>0.95</v>
      </c>
      <c r="Q10" s="167">
        <f t="shared" si="18"/>
        <v>0</v>
      </c>
      <c r="R10" s="168">
        <f t="shared" si="18"/>
        <v>0</v>
      </c>
      <c r="S10" s="168">
        <f t="shared" si="18"/>
        <v>0</v>
      </c>
      <c r="T10" s="169">
        <f t="shared" si="18"/>
        <v>0</v>
      </c>
      <c r="U10" s="97">
        <f t="shared" si="2"/>
        <v>0</v>
      </c>
      <c r="V10" s="97">
        <f t="shared" si="3"/>
        <v>0</v>
      </c>
      <c r="W10" s="97">
        <f t="shared" si="4"/>
        <v>0</v>
      </c>
      <c r="X10" s="97">
        <f t="shared" si="5"/>
        <v>0</v>
      </c>
      <c r="Y10" s="209"/>
      <c r="Z10" s="210"/>
      <c r="AA10" s="210"/>
      <c r="AB10" s="128">
        <f>IF(AND(D10="Jour férié semaine",((G10-F10)+(I10-H10)+(K10-J10)=0)),VLOOKUP(D10,Systeemgegevens!$J:$K,2,FALSE),0)</f>
        <v>0</v>
      </c>
      <c r="AC10" s="43">
        <f>IF(AND(NOT(ISERROR(FIND("Congé",D10))),ISERROR(FIND("1/2",D10)),ISERROR(FIND("Synd",D10)),ISERROR(FIND("synd",D10)),(G10-F10+I10-H10+K10-J10)=0),VLOOKUP(D10,Systeemgegevens!$J:$K,2,FALSE),IF(AND(NOT(ISERROR(FIND("1/2 Congé + ",D10))),(G10-F10+I10-H10+K10-J10)=0),VLOOKUP(D10,Systeemgegevens!$J:$K,2,FALSE)/2,IF(AND(NOT(ISERROR(FIND("1/2 Congé",D10))),ISERROR(FIND(" + ",D10)),ISERROR(FIND("1/2 Congé Synd.",D10))),VLOOKUP(D10,Systeemgegevens!$J:$K,2,FALSE),0)))</f>
        <v>0</v>
      </c>
      <c r="AD10" s="43">
        <f>IF(AND(OR(D10="1/2 Congé Synd.",D10="Congé Synd."),((G10-F10)+(I10-H10)+(K10-J10)=0)),VLOOKUP(D10,Systeemgegevens!$J:$K,2,FALSE),IF(AND(D10="1/2 Congé + 1/2 synd.",((G10-F10)+(I10-H10)+(K10-J10)=0)),AC10,0))</f>
        <v>0</v>
      </c>
      <c r="AE10" s="43">
        <f>IF(AND(D10="Jour de pont",((G10-F10)+(I10-H10)+(K10-J10)=0)),VLOOKUP(D10,Systeemgegevens!$J:$K,2,FALSE),0)</f>
        <v>0</v>
      </c>
      <c r="AF10" s="43">
        <f>IF(AND(D10="Jour libre 4/5",AND((G10-F10)+(I10-H10)+(K10-J10)=0)),VLOOKUP(D10,Systeemgegevens!$J:$K,2,FALSE),0)</f>
        <v>0</v>
      </c>
      <c r="AG10" s="118">
        <f>IF(AND(D10&lt;&gt;"",SUM(AB10:AF10)=0,D10&lt;&gt;$AB$4,D10&lt;&gt;$AC$4,D10&lt;&gt;$AE$4,D10&lt;&gt;$AF$4),VLOOKUP(D10,Systeemgegevens!$J:$K,2,FALSE),0)</f>
        <v>0</v>
      </c>
      <c r="AH10" s="119">
        <f t="shared" si="6"/>
        <v>0</v>
      </c>
      <c r="AI10" s="101">
        <f t="shared" si="7"/>
        <v>0</v>
      </c>
      <c r="AJ10" s="118">
        <f t="shared" si="19"/>
        <v>0</v>
      </c>
      <c r="AK10" s="119">
        <f t="shared" si="8"/>
        <v>0</v>
      </c>
      <c r="AL10" s="101">
        <f t="shared" si="9"/>
        <v>0</v>
      </c>
      <c r="AM10" s="43">
        <f t="shared" si="20"/>
        <v>0</v>
      </c>
      <c r="AN10" s="118">
        <f t="shared" si="21"/>
        <v>0</v>
      </c>
      <c r="AO10" s="122">
        <f t="shared" si="10"/>
        <v>0</v>
      </c>
      <c r="AP10" s="107">
        <f t="shared" si="11"/>
        <v>0</v>
      </c>
      <c r="AQ10" s="107">
        <f t="shared" si="12"/>
        <v>0</v>
      </c>
      <c r="AR10" s="123">
        <f t="shared" si="13"/>
        <v>0</v>
      </c>
      <c r="AS10" s="124">
        <f t="shared" si="14"/>
        <v>0</v>
      </c>
      <c r="AT10" s="124">
        <f t="shared" si="15"/>
        <v>0</v>
      </c>
      <c r="AU10" s="124">
        <f t="shared" si="16"/>
        <v>0</v>
      </c>
      <c r="AV10" s="117" t="s">
        <v>34</v>
      </c>
      <c r="AW10" s="129">
        <f>IF(($R$41=AV10)*AND($R$42&lt;&gt;""),VLOOKUP($R$42,'Barèmes police'!$H$4:$I$30,2),0)</f>
        <v>0</v>
      </c>
      <c r="AX10" s="16" t="str">
        <f>IF('Types de jours'!F16&lt;&gt;"",'Types de jours'!F16,"")</f>
        <v>1/2 Congé</v>
      </c>
      <c r="AY10" s="144">
        <f>IF(AX10&lt;&gt;"",'Types de jours'!I16,"")</f>
        <v>0.15833333333333333</v>
      </c>
      <c r="AZ10" s="269"/>
      <c r="BA10" s="154"/>
      <c r="BB10" s="154"/>
      <c r="BC10" s="154"/>
      <c r="BD10" s="154"/>
      <c r="BE10" s="154"/>
      <c r="BF10" s="154"/>
    </row>
    <row r="11" spans="1:58" ht="12.75" customHeight="1" x14ac:dyDescent="0.2">
      <c r="A11" s="34"/>
      <c r="B11" s="24" t="str">
        <f t="shared" si="0"/>
        <v>Je</v>
      </c>
      <c r="C11" s="25">
        <f t="shared" si="22"/>
        <v>45477</v>
      </c>
      <c r="D11" s="51"/>
      <c r="E11" s="116"/>
      <c r="F11" s="52"/>
      <c r="G11" s="53"/>
      <c r="H11" s="52"/>
      <c r="I11" s="53"/>
      <c r="J11" s="54"/>
      <c r="K11" s="55"/>
      <c r="L11" s="40">
        <f t="shared" si="1"/>
        <v>0</v>
      </c>
      <c r="M11" s="41">
        <f t="shared" si="23"/>
        <v>0</v>
      </c>
      <c r="N11" s="42">
        <f>IF(AND(D11&lt;&gt;"Jour libre 4/5",B11&lt;&gt;"Sa",B11&lt;&gt;"Di"),SUM(N10,Configuration!$H$41),SUM(N10))</f>
        <v>1.2666666666666666</v>
      </c>
      <c r="O11" s="49" t="str">
        <f t="shared" si="24"/>
        <v>-</v>
      </c>
      <c r="P11" s="143">
        <f t="shared" si="17"/>
        <v>1.2666666666666666</v>
      </c>
      <c r="Q11" s="167">
        <f t="shared" si="18"/>
        <v>0</v>
      </c>
      <c r="R11" s="168">
        <f t="shared" si="18"/>
        <v>0</v>
      </c>
      <c r="S11" s="168">
        <f t="shared" si="18"/>
        <v>0</v>
      </c>
      <c r="T11" s="169">
        <f t="shared" si="18"/>
        <v>0</v>
      </c>
      <c r="U11" s="97">
        <f t="shared" si="2"/>
        <v>0</v>
      </c>
      <c r="V11" s="97">
        <f t="shared" si="3"/>
        <v>0</v>
      </c>
      <c r="W11" s="97">
        <f t="shared" si="4"/>
        <v>0</v>
      </c>
      <c r="X11" s="97">
        <f t="shared" si="5"/>
        <v>0</v>
      </c>
      <c r="Y11" s="209"/>
      <c r="Z11" s="210"/>
      <c r="AA11" s="210"/>
      <c r="AB11" s="128">
        <f>IF(AND(D11="Jour férié semaine",((G11-F11)+(I11-H11)+(K11-J11)=0)),VLOOKUP(D11,Systeemgegevens!$J:$K,2,FALSE),0)</f>
        <v>0</v>
      </c>
      <c r="AC11" s="43">
        <f>IF(AND(NOT(ISERROR(FIND("Congé",D11))),ISERROR(FIND("1/2",D11)),ISERROR(FIND("Synd",D11)),ISERROR(FIND("synd",D11)),(G11-F11+I11-H11+K11-J11)=0),VLOOKUP(D11,Systeemgegevens!$J:$K,2,FALSE),IF(AND(NOT(ISERROR(FIND("1/2 Congé + ",D11))),(G11-F11+I11-H11+K11-J11)=0),VLOOKUP(D11,Systeemgegevens!$J:$K,2,FALSE)/2,IF(AND(NOT(ISERROR(FIND("1/2 Congé",D11))),ISERROR(FIND(" + ",D11)),ISERROR(FIND("1/2 Congé Synd.",D11))),VLOOKUP(D11,Systeemgegevens!$J:$K,2,FALSE),0)))</f>
        <v>0</v>
      </c>
      <c r="AD11" s="43">
        <f>IF(AND(OR(D11="1/2 Congé Synd.",D11="Congé Synd."),((G11-F11)+(I11-H11)+(K11-J11)=0)),VLOOKUP(D11,Systeemgegevens!$J:$K,2,FALSE),IF(AND(D11="1/2 Congé + 1/2 synd.",((G11-F11)+(I11-H11)+(K11-J11)=0)),AC11,0))</f>
        <v>0</v>
      </c>
      <c r="AE11" s="43">
        <f>IF(AND(D11="Jour de pont",((G11-F11)+(I11-H11)+(K11-J11)=0)),VLOOKUP(D11,Systeemgegevens!$J:$K,2,FALSE),0)</f>
        <v>0</v>
      </c>
      <c r="AF11" s="43">
        <f>IF(AND(D11="Jour libre 4/5",AND((G11-F11)+(I11-H11)+(K11-J11)=0)),VLOOKUP(D11,Systeemgegevens!$J:$K,2,FALSE),0)</f>
        <v>0</v>
      </c>
      <c r="AG11" s="118">
        <f>IF(AND(D11&lt;&gt;"",SUM(AB11:AF11)=0,D11&lt;&gt;$AB$4,D11&lt;&gt;$AC$4,D11&lt;&gt;$AE$4,D11&lt;&gt;$AF$4),VLOOKUP(D11,Systeemgegevens!$J:$K,2,FALSE),0)</f>
        <v>0</v>
      </c>
      <c r="AH11" s="119">
        <f t="shared" si="6"/>
        <v>0</v>
      </c>
      <c r="AI11" s="101">
        <f t="shared" si="7"/>
        <v>0</v>
      </c>
      <c r="AJ11" s="118">
        <f t="shared" si="19"/>
        <v>0</v>
      </c>
      <c r="AK11" s="119">
        <f t="shared" si="8"/>
        <v>0</v>
      </c>
      <c r="AL11" s="101">
        <f t="shared" si="9"/>
        <v>0</v>
      </c>
      <c r="AM11" s="43">
        <f t="shared" si="20"/>
        <v>0</v>
      </c>
      <c r="AN11" s="118">
        <f t="shared" si="21"/>
        <v>0</v>
      </c>
      <c r="AO11" s="122">
        <f t="shared" si="10"/>
        <v>0</v>
      </c>
      <c r="AP11" s="107">
        <f t="shared" si="11"/>
        <v>0</v>
      </c>
      <c r="AQ11" s="107">
        <f t="shared" si="12"/>
        <v>0</v>
      </c>
      <c r="AR11" s="123">
        <f t="shared" si="13"/>
        <v>0</v>
      </c>
      <c r="AS11" s="124">
        <f t="shared" si="14"/>
        <v>0</v>
      </c>
      <c r="AT11" s="124">
        <f t="shared" si="15"/>
        <v>0</v>
      </c>
      <c r="AU11" s="124">
        <f t="shared" si="16"/>
        <v>0</v>
      </c>
      <c r="AV11" s="117" t="s">
        <v>268</v>
      </c>
      <c r="AW11" s="129">
        <f>IF(($R$41=AV11)*AND($R$42&lt;&gt;""),VLOOKUP($R$42,'Barèmes police'!$K$4:$L$30,2),0)</f>
        <v>0</v>
      </c>
      <c r="AX11" s="16" t="str">
        <f>IF('Types de jours'!F17&lt;&gt;"",'Types de jours'!F17,"")</f>
        <v>Malade</v>
      </c>
      <c r="AY11" s="144">
        <f>IF(AX11&lt;&gt;"",'Types de jours'!I17,"")</f>
        <v>0.31666666666666665</v>
      </c>
      <c r="AZ11" s="269"/>
      <c r="BA11" s="154"/>
      <c r="BB11" s="154"/>
      <c r="BC11" s="154"/>
      <c r="BD11" s="154"/>
      <c r="BE11" s="154"/>
      <c r="BF11" s="154"/>
    </row>
    <row r="12" spans="1:58" ht="12.75" customHeight="1" x14ac:dyDescent="0.2">
      <c r="A12" s="34"/>
      <c r="B12" s="24" t="str">
        <f t="shared" si="0"/>
        <v>Ve</v>
      </c>
      <c r="C12" s="25">
        <f t="shared" si="22"/>
        <v>45478</v>
      </c>
      <c r="D12" s="51"/>
      <c r="E12" s="116"/>
      <c r="F12" s="52"/>
      <c r="G12" s="53"/>
      <c r="H12" s="52"/>
      <c r="I12" s="53"/>
      <c r="J12" s="54"/>
      <c r="K12" s="55"/>
      <c r="L12" s="40">
        <f t="shared" si="1"/>
        <v>0</v>
      </c>
      <c r="M12" s="41">
        <f t="shared" si="23"/>
        <v>0</v>
      </c>
      <c r="N12" s="42">
        <f>IF(AND(D12&lt;&gt;"Jour libre 4/5",B12&lt;&gt;"Sa",B12&lt;&gt;"Di"),SUM(N11,Configuration!$H$41),SUM(N11))</f>
        <v>1.5833333333333333</v>
      </c>
      <c r="O12" s="49" t="str">
        <f t="shared" si="24"/>
        <v>-</v>
      </c>
      <c r="P12" s="143">
        <f t="shared" si="17"/>
        <v>1.5833333333333333</v>
      </c>
      <c r="Q12" s="167">
        <f t="shared" si="18"/>
        <v>0</v>
      </c>
      <c r="R12" s="168">
        <f t="shared" si="18"/>
        <v>0</v>
      </c>
      <c r="S12" s="168">
        <f t="shared" si="18"/>
        <v>0</v>
      </c>
      <c r="T12" s="169">
        <f t="shared" si="18"/>
        <v>0</v>
      </c>
      <c r="U12" s="97">
        <f t="shared" si="2"/>
        <v>0</v>
      </c>
      <c r="V12" s="97">
        <f t="shared" si="3"/>
        <v>0</v>
      </c>
      <c r="W12" s="97">
        <f t="shared" si="4"/>
        <v>0</v>
      </c>
      <c r="X12" s="97">
        <f t="shared" si="5"/>
        <v>0</v>
      </c>
      <c r="Y12" s="209"/>
      <c r="Z12" s="210"/>
      <c r="AA12" s="210"/>
      <c r="AB12" s="128">
        <f>IF(AND(D12="Jour férié semaine",((G12-F12)+(I12-H12)+(K12-J12)=0)),VLOOKUP(D12,Systeemgegevens!$J:$K,2,FALSE),0)</f>
        <v>0</v>
      </c>
      <c r="AC12" s="43">
        <f>IF(AND(NOT(ISERROR(FIND("Congé",D12))),ISERROR(FIND("1/2",D12)),ISERROR(FIND("Synd",D12)),ISERROR(FIND("synd",D12)),(G12-F12+I12-H12+K12-J12)=0),VLOOKUP(D12,Systeemgegevens!$J:$K,2,FALSE),IF(AND(NOT(ISERROR(FIND("1/2 Congé + ",D12))),(G12-F12+I12-H12+K12-J12)=0),VLOOKUP(D12,Systeemgegevens!$J:$K,2,FALSE)/2,IF(AND(NOT(ISERROR(FIND("1/2 Congé",D12))),ISERROR(FIND(" + ",D12)),ISERROR(FIND("1/2 Congé Synd.",D12))),VLOOKUP(D12,Systeemgegevens!$J:$K,2,FALSE),0)))</f>
        <v>0</v>
      </c>
      <c r="AD12" s="43">
        <f>IF(AND(OR(D12="1/2 Congé Synd.",D12="Congé Synd."),((G12-F12)+(I12-H12)+(K12-J12)=0)),VLOOKUP(D12,Systeemgegevens!$J:$K,2,FALSE),IF(AND(D12="1/2 Congé + 1/2 synd.",((G12-F12)+(I12-H12)+(K12-J12)=0)),AC12,0))</f>
        <v>0</v>
      </c>
      <c r="AE12" s="43">
        <f>IF(AND(D12="Jour de pont",((G12-F12)+(I12-H12)+(K12-J12)=0)),VLOOKUP(D12,Systeemgegevens!$J:$K,2,FALSE),0)</f>
        <v>0</v>
      </c>
      <c r="AF12" s="43">
        <f>IF(AND(D12="Jour libre 4/5",AND((G12-F12)+(I12-H12)+(K12-J12)=0)),VLOOKUP(D12,Systeemgegevens!$J:$K,2,FALSE),0)</f>
        <v>0</v>
      </c>
      <c r="AG12" s="118">
        <f>IF(AND(D12&lt;&gt;"",SUM(AB12:AF12)=0,D12&lt;&gt;$AB$4,D12&lt;&gt;$AC$4,D12&lt;&gt;$AE$4,D12&lt;&gt;$AF$4),VLOOKUP(D12,Systeemgegevens!$J:$K,2,FALSE),0)</f>
        <v>0</v>
      </c>
      <c r="AH12" s="119">
        <f t="shared" si="6"/>
        <v>0</v>
      </c>
      <c r="AI12" s="101">
        <f t="shared" si="7"/>
        <v>0</v>
      </c>
      <c r="AJ12" s="118">
        <f t="shared" si="19"/>
        <v>0</v>
      </c>
      <c r="AK12" s="119">
        <f t="shared" si="8"/>
        <v>0</v>
      </c>
      <c r="AL12" s="101">
        <f t="shared" si="9"/>
        <v>0</v>
      </c>
      <c r="AM12" s="43">
        <f t="shared" si="20"/>
        <v>0</v>
      </c>
      <c r="AN12" s="118">
        <f t="shared" si="21"/>
        <v>0</v>
      </c>
      <c r="AO12" s="122">
        <f t="shared" si="10"/>
        <v>0</v>
      </c>
      <c r="AP12" s="107">
        <f t="shared" si="11"/>
        <v>0</v>
      </c>
      <c r="AQ12" s="107">
        <f t="shared" si="12"/>
        <v>0</v>
      </c>
      <c r="AR12" s="123">
        <f t="shared" si="13"/>
        <v>0</v>
      </c>
      <c r="AS12" s="124">
        <f t="shared" si="14"/>
        <v>0</v>
      </c>
      <c r="AT12" s="124">
        <f t="shared" si="15"/>
        <v>0</v>
      </c>
      <c r="AU12" s="124">
        <f t="shared" si="16"/>
        <v>0</v>
      </c>
      <c r="AV12" s="117" t="s">
        <v>33</v>
      </c>
      <c r="AW12" s="129">
        <f>IF(($R$41=AV12)*AND($R$42&lt;&gt;""),VLOOKUP($R$42,'Barèmes police'!$N$4:$O$30,2),0)</f>
        <v>0</v>
      </c>
      <c r="AX12" s="16" t="str">
        <f>IF('Types de jours'!F18&lt;&gt;"",'Types de jours'!F18,"")</f>
        <v>Acc. de travail</v>
      </c>
      <c r="AY12" s="144">
        <f>IF(AX12&lt;&gt;"",'Types de jours'!I18,"")</f>
        <v>0.31666666666666665</v>
      </c>
      <c r="AZ12" s="269"/>
      <c r="BA12" s="154"/>
      <c r="BB12" s="154"/>
      <c r="BC12" s="154"/>
      <c r="BD12" s="154"/>
      <c r="BE12" s="154"/>
      <c r="BF12" s="154"/>
    </row>
    <row r="13" spans="1:58" ht="12.75" customHeight="1" x14ac:dyDescent="0.2">
      <c r="A13" s="34"/>
      <c r="B13" s="24" t="str">
        <f t="shared" si="0"/>
        <v>Sa</v>
      </c>
      <c r="C13" s="25">
        <f t="shared" si="22"/>
        <v>45479</v>
      </c>
      <c r="D13" s="51"/>
      <c r="E13" s="116"/>
      <c r="F13" s="52"/>
      <c r="G13" s="53"/>
      <c r="H13" s="52"/>
      <c r="I13" s="53"/>
      <c r="J13" s="54"/>
      <c r="K13" s="55"/>
      <c r="L13" s="40">
        <f t="shared" si="1"/>
        <v>0</v>
      </c>
      <c r="M13" s="41">
        <f t="shared" si="23"/>
        <v>0</v>
      </c>
      <c r="N13" s="42">
        <f>IF(AND(D13&lt;&gt;"Jour libre 4/5",B13&lt;&gt;"Sa",B13&lt;&gt;"Di"),SUM(N12,Configuration!$H$41),SUM(N12))</f>
        <v>1.5833333333333333</v>
      </c>
      <c r="O13" s="49" t="str">
        <f t="shared" si="24"/>
        <v>-</v>
      </c>
      <c r="P13" s="143">
        <f t="shared" si="17"/>
        <v>1.5833333333333333</v>
      </c>
      <c r="Q13" s="167">
        <f t="shared" si="18"/>
        <v>0</v>
      </c>
      <c r="R13" s="168">
        <f t="shared" si="18"/>
        <v>0</v>
      </c>
      <c r="S13" s="168">
        <f t="shared" si="18"/>
        <v>0</v>
      </c>
      <c r="T13" s="169">
        <f t="shared" si="18"/>
        <v>0</v>
      </c>
      <c r="U13" s="97">
        <f t="shared" si="2"/>
        <v>0</v>
      </c>
      <c r="V13" s="97">
        <f t="shared" si="3"/>
        <v>0</v>
      </c>
      <c r="W13" s="97">
        <f t="shared" si="4"/>
        <v>0</v>
      </c>
      <c r="X13" s="97">
        <f t="shared" si="5"/>
        <v>0</v>
      </c>
      <c r="Y13" s="209"/>
      <c r="Z13" s="210"/>
      <c r="AA13" s="210"/>
      <c r="AB13" s="128">
        <f>IF(AND(D13="Jour férié semaine",((G13-F13)+(I13-H13)+(K13-J13)=0)),VLOOKUP(D13,Systeemgegevens!$J:$K,2,FALSE),0)</f>
        <v>0</v>
      </c>
      <c r="AC13" s="43">
        <f>IF(AND(NOT(ISERROR(FIND("Congé",D13))),ISERROR(FIND("1/2",D13)),ISERROR(FIND("Synd",D13)),ISERROR(FIND("synd",D13)),(G13-F13+I13-H13+K13-J13)=0),VLOOKUP(D13,Systeemgegevens!$J:$K,2,FALSE),IF(AND(NOT(ISERROR(FIND("1/2 Congé + ",D13))),(G13-F13+I13-H13+K13-J13)=0),VLOOKUP(D13,Systeemgegevens!$J:$K,2,FALSE)/2,IF(AND(NOT(ISERROR(FIND("1/2 Congé",D13))),ISERROR(FIND(" + ",D13)),ISERROR(FIND("1/2 Congé Synd.",D13))),VLOOKUP(D13,Systeemgegevens!$J:$K,2,FALSE),0)))</f>
        <v>0</v>
      </c>
      <c r="AD13" s="43">
        <f>IF(AND(OR(D13="1/2 Congé Synd.",D13="Congé Synd."),((G13-F13)+(I13-H13)+(K13-J13)=0)),VLOOKUP(D13,Systeemgegevens!$J:$K,2,FALSE),IF(AND(D13="1/2 Congé + 1/2 synd.",((G13-F13)+(I13-H13)+(K13-J13)=0)),AC13,0))</f>
        <v>0</v>
      </c>
      <c r="AE13" s="43">
        <f>IF(AND(D13="Jour de pont",((G13-F13)+(I13-H13)+(K13-J13)=0)),VLOOKUP(D13,Systeemgegevens!$J:$K,2,FALSE),0)</f>
        <v>0</v>
      </c>
      <c r="AF13" s="43">
        <f>IF(AND(D13="Jour libre 4/5",AND((G13-F13)+(I13-H13)+(K13-J13)=0)),VLOOKUP(D13,Systeemgegevens!$J:$K,2,FALSE),0)</f>
        <v>0</v>
      </c>
      <c r="AG13" s="118">
        <f>IF(AND(D13&lt;&gt;"",SUM(AB13:AF13)=0,D13&lt;&gt;$AB$4,D13&lt;&gt;$AC$4,D13&lt;&gt;$AE$4,D13&lt;&gt;$AF$4),VLOOKUP(D13,Systeemgegevens!$J:$K,2,FALSE),0)</f>
        <v>0</v>
      </c>
      <c r="AH13" s="119">
        <f t="shared" si="6"/>
        <v>0</v>
      </c>
      <c r="AI13" s="101">
        <f t="shared" si="7"/>
        <v>0</v>
      </c>
      <c r="AJ13" s="118">
        <f t="shared" si="19"/>
        <v>0</v>
      </c>
      <c r="AK13" s="119">
        <f t="shared" si="8"/>
        <v>0</v>
      </c>
      <c r="AL13" s="101">
        <f t="shared" si="9"/>
        <v>0</v>
      </c>
      <c r="AM13" s="43">
        <f t="shared" si="20"/>
        <v>0</v>
      </c>
      <c r="AN13" s="118">
        <f t="shared" si="21"/>
        <v>0</v>
      </c>
      <c r="AO13" s="122">
        <f t="shared" si="10"/>
        <v>0</v>
      </c>
      <c r="AP13" s="107">
        <f t="shared" si="11"/>
        <v>0</v>
      </c>
      <c r="AQ13" s="107">
        <f t="shared" si="12"/>
        <v>0</v>
      </c>
      <c r="AR13" s="123">
        <f t="shared" si="13"/>
        <v>0</v>
      </c>
      <c r="AS13" s="124">
        <f t="shared" si="14"/>
        <v>0</v>
      </c>
      <c r="AT13" s="124">
        <f t="shared" si="15"/>
        <v>0</v>
      </c>
      <c r="AU13" s="124">
        <f t="shared" si="16"/>
        <v>0</v>
      </c>
      <c r="AV13" s="117" t="s">
        <v>32</v>
      </c>
      <c r="AW13" s="129">
        <f>IF(($R$41=AV13)*AND($R$42&lt;&gt;""),VLOOKUP($R$42,'Barèmes police'!$Q$4:$R$30,2),0)</f>
        <v>0</v>
      </c>
      <c r="AX13" s="16" t="str">
        <f>IF('Types de jours'!F19&lt;&gt;"",'Types de jours'!F19,"")</f>
        <v>Congé Synd.</v>
      </c>
      <c r="AY13" s="144">
        <f>IF(AX13&lt;&gt;"",'Types de jours'!I19,"")</f>
        <v>0.31666666666666665</v>
      </c>
      <c r="AZ13" s="269"/>
      <c r="BA13" s="154"/>
      <c r="BB13" s="154"/>
      <c r="BC13" s="154"/>
      <c r="BD13" s="154"/>
      <c r="BE13" s="154"/>
      <c r="BF13" s="154"/>
    </row>
    <row r="14" spans="1:58" ht="12.75" customHeight="1" x14ac:dyDescent="0.2">
      <c r="A14" s="34"/>
      <c r="B14" s="24" t="str">
        <f t="shared" si="0"/>
        <v>Di</v>
      </c>
      <c r="C14" s="25">
        <f t="shared" si="22"/>
        <v>45480</v>
      </c>
      <c r="D14" s="51"/>
      <c r="E14" s="116"/>
      <c r="F14" s="52"/>
      <c r="G14" s="53"/>
      <c r="H14" s="52"/>
      <c r="I14" s="53"/>
      <c r="J14" s="54"/>
      <c r="K14" s="55"/>
      <c r="L14" s="40">
        <f t="shared" si="1"/>
        <v>0</v>
      </c>
      <c r="M14" s="41">
        <f t="shared" si="23"/>
        <v>0</v>
      </c>
      <c r="N14" s="42">
        <f>IF(AND(D14&lt;&gt;"Jour libre 4/5",B14&lt;&gt;"Sa",B14&lt;&gt;"Di"),SUM(N13,Configuration!$H$41),SUM(N13))</f>
        <v>1.5833333333333333</v>
      </c>
      <c r="O14" s="49" t="str">
        <f t="shared" si="24"/>
        <v>-</v>
      </c>
      <c r="P14" s="143">
        <f t="shared" si="17"/>
        <v>1.5833333333333333</v>
      </c>
      <c r="Q14" s="167">
        <f t="shared" si="18"/>
        <v>0</v>
      </c>
      <c r="R14" s="168">
        <f t="shared" si="18"/>
        <v>0</v>
      </c>
      <c r="S14" s="168">
        <f t="shared" si="18"/>
        <v>0</v>
      </c>
      <c r="T14" s="169">
        <f t="shared" si="18"/>
        <v>0</v>
      </c>
      <c r="U14" s="97">
        <f t="shared" si="2"/>
        <v>0</v>
      </c>
      <c r="V14" s="97">
        <f t="shared" si="3"/>
        <v>0</v>
      </c>
      <c r="W14" s="97">
        <f t="shared" si="4"/>
        <v>0</v>
      </c>
      <c r="X14" s="97">
        <f t="shared" si="5"/>
        <v>0</v>
      </c>
      <c r="Y14" s="209"/>
      <c r="Z14" s="210"/>
      <c r="AA14" s="210"/>
      <c r="AB14" s="128">
        <f>IF(AND(D14="Jour férié semaine",((G14-F14)+(I14-H14)+(K14-J14)=0)),VLOOKUP(D14,Systeemgegevens!$J:$K,2,FALSE),0)</f>
        <v>0</v>
      </c>
      <c r="AC14" s="43">
        <f>IF(AND(NOT(ISERROR(FIND("Congé",D14))),ISERROR(FIND("1/2",D14)),ISERROR(FIND("Synd",D14)),ISERROR(FIND("synd",D14)),(G14-F14+I14-H14+K14-J14)=0),VLOOKUP(D14,Systeemgegevens!$J:$K,2,FALSE),IF(AND(NOT(ISERROR(FIND("1/2 Congé + ",D14))),(G14-F14+I14-H14+K14-J14)=0),VLOOKUP(D14,Systeemgegevens!$J:$K,2,FALSE)/2,IF(AND(NOT(ISERROR(FIND("1/2 Congé",D14))),ISERROR(FIND(" + ",D14)),ISERROR(FIND("1/2 Congé Synd.",D14))),VLOOKUP(D14,Systeemgegevens!$J:$K,2,FALSE),0)))</f>
        <v>0</v>
      </c>
      <c r="AD14" s="43">
        <f>IF(AND(OR(D14="1/2 Congé Synd.",D14="Congé Synd."),((G14-F14)+(I14-H14)+(K14-J14)=0)),VLOOKUP(D14,Systeemgegevens!$J:$K,2,FALSE),IF(AND(D14="1/2 Congé + 1/2 synd.",((G14-F14)+(I14-H14)+(K14-J14)=0)),AC14,0))</f>
        <v>0</v>
      </c>
      <c r="AE14" s="43">
        <f>IF(AND(D14="Jour de pont",((G14-F14)+(I14-H14)+(K14-J14)=0)),VLOOKUP(D14,Systeemgegevens!$J:$K,2,FALSE),0)</f>
        <v>0</v>
      </c>
      <c r="AF14" s="43">
        <f>IF(AND(D14="Jour libre 4/5",AND((G14-F14)+(I14-H14)+(K14-J14)=0)),VLOOKUP(D14,Systeemgegevens!$J:$K,2,FALSE),0)</f>
        <v>0</v>
      </c>
      <c r="AG14" s="118">
        <f>IF(AND(D14&lt;&gt;"",SUM(AB14:AF14)=0,D14&lt;&gt;$AB$4,D14&lt;&gt;$AC$4,D14&lt;&gt;$AE$4,D14&lt;&gt;$AF$4),VLOOKUP(D14,Systeemgegevens!$J:$K,2,FALSE),0)</f>
        <v>0</v>
      </c>
      <c r="AH14" s="119">
        <f t="shared" si="6"/>
        <v>0</v>
      </c>
      <c r="AI14" s="101">
        <f t="shared" si="7"/>
        <v>0</v>
      </c>
      <c r="AJ14" s="118">
        <f t="shared" si="19"/>
        <v>0</v>
      </c>
      <c r="AK14" s="119">
        <f t="shared" si="8"/>
        <v>0</v>
      </c>
      <c r="AL14" s="101">
        <f t="shared" si="9"/>
        <v>0</v>
      </c>
      <c r="AM14" s="43">
        <f t="shared" si="20"/>
        <v>0</v>
      </c>
      <c r="AN14" s="118">
        <f t="shared" si="21"/>
        <v>0</v>
      </c>
      <c r="AO14" s="122">
        <f t="shared" si="10"/>
        <v>0</v>
      </c>
      <c r="AP14" s="107">
        <f t="shared" si="11"/>
        <v>0</v>
      </c>
      <c r="AQ14" s="107">
        <f t="shared" si="12"/>
        <v>0</v>
      </c>
      <c r="AR14" s="123">
        <f t="shared" si="13"/>
        <v>0</v>
      </c>
      <c r="AS14" s="124">
        <f t="shared" si="14"/>
        <v>0</v>
      </c>
      <c r="AT14" s="124">
        <f t="shared" si="15"/>
        <v>0</v>
      </c>
      <c r="AU14" s="124">
        <f t="shared" si="16"/>
        <v>0</v>
      </c>
      <c r="AV14" s="117" t="s">
        <v>31</v>
      </c>
      <c r="AW14" s="129">
        <f>IF(($R$41=AV14)*AND($R$42&lt;&gt;""),VLOOKUP($R$42,'Barèmes police'!$T$4:$U$30,2),0)</f>
        <v>0</v>
      </c>
      <c r="AX14" s="16" t="str">
        <f>IF('Types de jours'!F20&lt;&gt;"",'Types de jours'!F20,"")</f>
        <v>1/2 Congé Synd.</v>
      </c>
      <c r="AY14" s="144">
        <f>IF(AX14&lt;&gt;"",'Types de jours'!I20,"")</f>
        <v>0.15833333333333333</v>
      </c>
      <c r="AZ14" s="269"/>
      <c r="BA14" s="154"/>
      <c r="BB14" s="154"/>
      <c r="BC14" s="154"/>
      <c r="BD14" s="154"/>
      <c r="BE14" s="154"/>
      <c r="BF14" s="154"/>
    </row>
    <row r="15" spans="1:58" ht="12.75" customHeight="1" x14ac:dyDescent="0.2">
      <c r="A15" s="34"/>
      <c r="B15" s="24" t="str">
        <f t="shared" si="0"/>
        <v>Lu</v>
      </c>
      <c r="C15" s="25">
        <f t="shared" si="22"/>
        <v>45481</v>
      </c>
      <c r="D15" s="51"/>
      <c r="E15" s="116"/>
      <c r="F15" s="52"/>
      <c r="G15" s="53"/>
      <c r="H15" s="52"/>
      <c r="I15" s="53"/>
      <c r="J15" s="54"/>
      <c r="K15" s="55"/>
      <c r="L15" s="40">
        <f t="shared" si="1"/>
        <v>0</v>
      </c>
      <c r="M15" s="41">
        <f t="shared" si="23"/>
        <v>0</v>
      </c>
      <c r="N15" s="42">
        <f>IF(AND(D15&lt;&gt;"Jour libre 4/5",B15&lt;&gt;"Sa",B15&lt;&gt;"Di"),SUM(N14,Configuration!$H$41),SUM(N14))</f>
        <v>1.9</v>
      </c>
      <c r="O15" s="49" t="str">
        <f t="shared" si="24"/>
        <v>-</v>
      </c>
      <c r="P15" s="143">
        <f t="shared" si="17"/>
        <v>1.9</v>
      </c>
      <c r="Q15" s="167">
        <f t="shared" si="18"/>
        <v>0</v>
      </c>
      <c r="R15" s="168">
        <f t="shared" si="18"/>
        <v>0</v>
      </c>
      <c r="S15" s="168">
        <f t="shared" si="18"/>
        <v>0</v>
      </c>
      <c r="T15" s="169">
        <f t="shared" si="18"/>
        <v>0</v>
      </c>
      <c r="U15" s="97">
        <f t="shared" si="2"/>
        <v>0</v>
      </c>
      <c r="V15" s="97">
        <f t="shared" si="3"/>
        <v>0</v>
      </c>
      <c r="W15" s="97">
        <f t="shared" si="4"/>
        <v>0</v>
      </c>
      <c r="X15" s="97">
        <f t="shared" si="5"/>
        <v>0</v>
      </c>
      <c r="Y15" s="209"/>
      <c r="Z15" s="210"/>
      <c r="AA15" s="210"/>
      <c r="AB15" s="128">
        <f>IF(AND(D15="Jour férié semaine",((G15-F15)+(I15-H15)+(K15-J15)=0)),VLOOKUP(D15,Systeemgegevens!$J:$K,2,FALSE),0)</f>
        <v>0</v>
      </c>
      <c r="AC15" s="43">
        <f>IF(AND(NOT(ISERROR(FIND("Congé",D15))),ISERROR(FIND("1/2",D15)),ISERROR(FIND("Synd",D15)),ISERROR(FIND("synd",D15)),(G15-F15+I15-H15+K15-J15)=0),VLOOKUP(D15,Systeemgegevens!$J:$K,2,FALSE),IF(AND(NOT(ISERROR(FIND("1/2 Congé + ",D15))),(G15-F15+I15-H15+K15-J15)=0),VLOOKUP(D15,Systeemgegevens!$J:$K,2,FALSE)/2,IF(AND(NOT(ISERROR(FIND("1/2 Congé",D15))),ISERROR(FIND(" + ",D15)),ISERROR(FIND("1/2 Congé Synd.",D15))),VLOOKUP(D15,Systeemgegevens!$J:$K,2,FALSE),0)))</f>
        <v>0</v>
      </c>
      <c r="AD15" s="43">
        <f>IF(AND(OR(D15="1/2 Congé Synd.",D15="Congé Synd."),((G15-F15)+(I15-H15)+(K15-J15)=0)),VLOOKUP(D15,Systeemgegevens!$J:$K,2,FALSE),IF(AND(D15="1/2 Congé + 1/2 synd.",((G15-F15)+(I15-H15)+(K15-J15)=0)),AC15,0))</f>
        <v>0</v>
      </c>
      <c r="AE15" s="43">
        <f>IF(AND(D15="Jour de pont",((G15-F15)+(I15-H15)+(K15-J15)=0)),VLOOKUP(D15,Systeemgegevens!$J:$K,2,FALSE),0)</f>
        <v>0</v>
      </c>
      <c r="AF15" s="43">
        <f>IF(AND(D15="Jour libre 4/5",AND((G15-F15)+(I15-H15)+(K15-J15)=0)),VLOOKUP(D15,Systeemgegevens!$J:$K,2,FALSE),0)</f>
        <v>0</v>
      </c>
      <c r="AG15" s="118">
        <f>IF(AND(D15&lt;&gt;"",SUM(AB15:AF15)=0,D15&lt;&gt;$AB$4,D15&lt;&gt;$AC$4,D15&lt;&gt;$AE$4,D15&lt;&gt;$AF$4),VLOOKUP(D15,Systeemgegevens!$J:$K,2,FALSE),0)</f>
        <v>0</v>
      </c>
      <c r="AH15" s="119">
        <f t="shared" si="6"/>
        <v>0</v>
      </c>
      <c r="AI15" s="101">
        <f t="shared" si="7"/>
        <v>0</v>
      </c>
      <c r="AJ15" s="118">
        <f t="shared" si="19"/>
        <v>0</v>
      </c>
      <c r="AK15" s="119">
        <f t="shared" si="8"/>
        <v>0</v>
      </c>
      <c r="AL15" s="101">
        <f t="shared" si="9"/>
        <v>0</v>
      </c>
      <c r="AM15" s="43">
        <f t="shared" si="20"/>
        <v>0</v>
      </c>
      <c r="AN15" s="118">
        <f t="shared" si="21"/>
        <v>0</v>
      </c>
      <c r="AO15" s="122">
        <f t="shared" si="10"/>
        <v>0</v>
      </c>
      <c r="AP15" s="107">
        <f t="shared" si="11"/>
        <v>0</v>
      </c>
      <c r="AQ15" s="107">
        <f t="shared" si="12"/>
        <v>0</v>
      </c>
      <c r="AR15" s="123">
        <f t="shared" si="13"/>
        <v>0</v>
      </c>
      <c r="AS15" s="124">
        <f t="shared" si="14"/>
        <v>0</v>
      </c>
      <c r="AT15" s="124">
        <f t="shared" si="15"/>
        <v>0</v>
      </c>
      <c r="AU15" s="124">
        <f t="shared" si="16"/>
        <v>0</v>
      </c>
      <c r="AV15" s="117" t="s">
        <v>30</v>
      </c>
      <c r="AW15" s="129">
        <f>IF(($R$41=AV15)*AND($R$42&lt;&gt;""),VLOOKUP($R$42,'Barèmes police'!$W$4:$X$30,2),0)</f>
        <v>0</v>
      </c>
      <c r="AX15" s="16" t="str">
        <f>IF('Types de jours'!F21&lt;&gt;"",'Types de jours'!F21,"")</f>
        <v>1/2 Congé + 1/2 synd.</v>
      </c>
      <c r="AY15" s="144">
        <f>IF(AX15&lt;&gt;"",'Types de jours'!I21,"")</f>
        <v>0.31666666666666665</v>
      </c>
      <c r="AZ15" s="269"/>
      <c r="BA15" s="154"/>
      <c r="BB15" s="154"/>
      <c r="BC15" s="154"/>
      <c r="BD15" s="154"/>
      <c r="BE15" s="154"/>
      <c r="BF15" s="154"/>
    </row>
    <row r="16" spans="1:58" ht="12.75" customHeight="1" x14ac:dyDescent="0.2">
      <c r="A16" s="34"/>
      <c r="B16" s="24" t="str">
        <f t="shared" si="0"/>
        <v>Ma</v>
      </c>
      <c r="C16" s="25">
        <f t="shared" si="22"/>
        <v>45482</v>
      </c>
      <c r="D16" s="51"/>
      <c r="E16" s="116"/>
      <c r="F16" s="52"/>
      <c r="G16" s="53"/>
      <c r="H16" s="52"/>
      <c r="I16" s="53"/>
      <c r="J16" s="54"/>
      <c r="K16" s="55"/>
      <c r="L16" s="40">
        <f t="shared" si="1"/>
        <v>0</v>
      </c>
      <c r="M16" s="41">
        <f t="shared" si="23"/>
        <v>0</v>
      </c>
      <c r="N16" s="42">
        <f>IF(AND(D16&lt;&gt;"Jour libre 4/5",B16&lt;&gt;"Sa",B16&lt;&gt;"Di"),SUM(N15,Configuration!$H$41),SUM(N15))</f>
        <v>2.2166666666666668</v>
      </c>
      <c r="O16" s="49" t="str">
        <f t="shared" si="24"/>
        <v>-</v>
      </c>
      <c r="P16" s="143">
        <f t="shared" si="17"/>
        <v>2.2166666666666668</v>
      </c>
      <c r="Q16" s="167">
        <f t="shared" si="18"/>
        <v>0</v>
      </c>
      <c r="R16" s="168">
        <f t="shared" si="18"/>
        <v>0</v>
      </c>
      <c r="S16" s="168">
        <f t="shared" si="18"/>
        <v>0</v>
      </c>
      <c r="T16" s="169">
        <f t="shared" si="18"/>
        <v>0</v>
      </c>
      <c r="U16" s="97">
        <f t="shared" si="2"/>
        <v>0</v>
      </c>
      <c r="V16" s="97">
        <f t="shared" si="3"/>
        <v>0</v>
      </c>
      <c r="W16" s="97">
        <f t="shared" si="4"/>
        <v>0</v>
      </c>
      <c r="X16" s="97">
        <f t="shared" si="5"/>
        <v>0</v>
      </c>
      <c r="Y16" s="209"/>
      <c r="Z16" s="210"/>
      <c r="AA16" s="210"/>
      <c r="AB16" s="128">
        <f>IF(AND(D16="Jour férié semaine",((G16-F16)+(I16-H16)+(K16-J16)=0)),VLOOKUP(D16,Systeemgegevens!$J:$K,2,FALSE),0)</f>
        <v>0</v>
      </c>
      <c r="AC16" s="43">
        <f>IF(AND(NOT(ISERROR(FIND("Congé",D16))),ISERROR(FIND("1/2",D16)),ISERROR(FIND("Synd",D16)),ISERROR(FIND("synd",D16)),(G16-F16+I16-H16+K16-J16)=0),VLOOKUP(D16,Systeemgegevens!$J:$K,2,FALSE),IF(AND(NOT(ISERROR(FIND("1/2 Congé + ",D16))),(G16-F16+I16-H16+K16-J16)=0),VLOOKUP(D16,Systeemgegevens!$J:$K,2,FALSE)/2,IF(AND(NOT(ISERROR(FIND("1/2 Congé",D16))),ISERROR(FIND(" + ",D16)),ISERROR(FIND("1/2 Congé Synd.",D16))),VLOOKUP(D16,Systeemgegevens!$J:$K,2,FALSE),0)))</f>
        <v>0</v>
      </c>
      <c r="AD16" s="43">
        <f>IF(AND(OR(D16="1/2 Congé Synd.",D16="Congé Synd."),((G16-F16)+(I16-H16)+(K16-J16)=0)),VLOOKUP(D16,Systeemgegevens!$J:$K,2,FALSE),IF(AND(D16="1/2 Congé + 1/2 synd.",((G16-F16)+(I16-H16)+(K16-J16)=0)),AC16,0))</f>
        <v>0</v>
      </c>
      <c r="AE16" s="43">
        <f>IF(AND(D16="Jour de pont",((G16-F16)+(I16-H16)+(K16-J16)=0)),VLOOKUP(D16,Systeemgegevens!$J:$K,2,FALSE),0)</f>
        <v>0</v>
      </c>
      <c r="AF16" s="43">
        <f>IF(AND(D16="Jour libre 4/5",AND((G16-F16)+(I16-H16)+(K16-J16)=0)),VLOOKUP(D16,Systeemgegevens!$J:$K,2,FALSE),0)</f>
        <v>0</v>
      </c>
      <c r="AG16" s="118">
        <f>IF(AND(D16&lt;&gt;"",SUM(AB16:AF16)=0,D16&lt;&gt;$AB$4,D16&lt;&gt;$AC$4,D16&lt;&gt;$AE$4,D16&lt;&gt;$AF$4),VLOOKUP(D16,Systeemgegevens!$J:$K,2,FALSE),0)</f>
        <v>0</v>
      </c>
      <c r="AH16" s="119">
        <f t="shared" si="6"/>
        <v>0</v>
      </c>
      <c r="AI16" s="101">
        <f t="shared" si="7"/>
        <v>0</v>
      </c>
      <c r="AJ16" s="118">
        <f t="shared" si="19"/>
        <v>0</v>
      </c>
      <c r="AK16" s="119">
        <f t="shared" si="8"/>
        <v>0</v>
      </c>
      <c r="AL16" s="101">
        <f t="shared" si="9"/>
        <v>0</v>
      </c>
      <c r="AM16" s="43">
        <f t="shared" si="20"/>
        <v>0</v>
      </c>
      <c r="AN16" s="118">
        <f t="shared" si="21"/>
        <v>0</v>
      </c>
      <c r="AO16" s="122">
        <f t="shared" si="10"/>
        <v>0</v>
      </c>
      <c r="AP16" s="107">
        <f t="shared" si="11"/>
        <v>0</v>
      </c>
      <c r="AQ16" s="107">
        <f t="shared" si="12"/>
        <v>0</v>
      </c>
      <c r="AR16" s="123">
        <f t="shared" si="13"/>
        <v>0</v>
      </c>
      <c r="AS16" s="124">
        <f t="shared" si="14"/>
        <v>0</v>
      </c>
      <c r="AT16" s="124">
        <f t="shared" si="15"/>
        <v>0</v>
      </c>
      <c r="AU16" s="124">
        <f t="shared" si="16"/>
        <v>0</v>
      </c>
      <c r="AV16" s="117" t="s">
        <v>29</v>
      </c>
      <c r="AW16" s="129">
        <f>IF(($R$41=AV16)*AND($R$42&lt;&gt;""),VLOOKUP($R$42,'Barèmes police'!$Z$4:$AA$30,2),0)</f>
        <v>0</v>
      </c>
      <c r="AX16" s="16" t="str">
        <f>IF('Types de jours'!F22&lt;&gt;"",'Types de jours'!F22,"")</f>
        <v>Jour férié semaine</v>
      </c>
      <c r="AY16" s="144">
        <f>IF(AX16&lt;&gt;"",'Types de jours'!I22,"")</f>
        <v>0.31666666666666665</v>
      </c>
      <c r="AZ16" s="269"/>
      <c r="BA16" s="154"/>
      <c r="BB16" s="154"/>
      <c r="BC16" s="154"/>
      <c r="BD16" s="154"/>
      <c r="BE16" s="154"/>
      <c r="BF16" s="154"/>
    </row>
    <row r="17" spans="1:58" ht="12.75" customHeight="1" x14ac:dyDescent="0.2">
      <c r="A17" s="34"/>
      <c r="B17" s="24" t="str">
        <f t="shared" si="0"/>
        <v>Me</v>
      </c>
      <c r="C17" s="25">
        <f t="shared" si="22"/>
        <v>45483</v>
      </c>
      <c r="D17" s="51"/>
      <c r="E17" s="116"/>
      <c r="F17" s="52"/>
      <c r="G17" s="53"/>
      <c r="H17" s="52"/>
      <c r="I17" s="53"/>
      <c r="J17" s="54"/>
      <c r="K17" s="55"/>
      <c r="L17" s="40">
        <f t="shared" si="1"/>
        <v>0</v>
      </c>
      <c r="M17" s="41">
        <f t="shared" si="23"/>
        <v>0</v>
      </c>
      <c r="N17" s="42">
        <f>IF(AND(D17&lt;&gt;"Jour libre 4/5",B17&lt;&gt;"Sa",B17&lt;&gt;"Di"),SUM(N16,Configuration!$H$41),SUM(N16))</f>
        <v>2.5333333333333332</v>
      </c>
      <c r="O17" s="49" t="str">
        <f t="shared" si="24"/>
        <v>-</v>
      </c>
      <c r="P17" s="143">
        <f t="shared" si="17"/>
        <v>2.5333333333333332</v>
      </c>
      <c r="Q17" s="167">
        <f t="shared" si="18"/>
        <v>0</v>
      </c>
      <c r="R17" s="168">
        <f t="shared" si="18"/>
        <v>0</v>
      </c>
      <c r="S17" s="168">
        <f t="shared" si="18"/>
        <v>0</v>
      </c>
      <c r="T17" s="169">
        <f t="shared" si="18"/>
        <v>0</v>
      </c>
      <c r="U17" s="97">
        <f t="shared" si="2"/>
        <v>0</v>
      </c>
      <c r="V17" s="97">
        <f t="shared" si="3"/>
        <v>0</v>
      </c>
      <c r="W17" s="97">
        <f t="shared" si="4"/>
        <v>0</v>
      </c>
      <c r="X17" s="97">
        <f t="shared" si="5"/>
        <v>0</v>
      </c>
      <c r="Y17" s="209"/>
      <c r="Z17" s="210"/>
      <c r="AA17" s="210"/>
      <c r="AB17" s="128">
        <f>IF(AND(D17="Jour férié semaine",((G17-F17)+(I17-H17)+(K17-J17)=0)),VLOOKUP(D17,Systeemgegevens!$J:$K,2,FALSE),0)</f>
        <v>0</v>
      </c>
      <c r="AC17" s="43">
        <f>IF(AND(NOT(ISERROR(FIND("Congé",D17))),ISERROR(FIND("1/2",D17)),ISERROR(FIND("Synd",D17)),ISERROR(FIND("synd",D17)),(G17-F17+I17-H17+K17-J17)=0),VLOOKUP(D17,Systeemgegevens!$J:$K,2,FALSE),IF(AND(NOT(ISERROR(FIND("1/2 Congé + ",D17))),(G17-F17+I17-H17+K17-J17)=0),VLOOKUP(D17,Systeemgegevens!$J:$K,2,FALSE)/2,IF(AND(NOT(ISERROR(FIND("1/2 Congé",D17))),ISERROR(FIND(" + ",D17)),ISERROR(FIND("1/2 Congé Synd.",D17))),VLOOKUP(D17,Systeemgegevens!$J:$K,2,FALSE),0)))</f>
        <v>0</v>
      </c>
      <c r="AD17" s="43">
        <f>IF(AND(OR(D17="1/2 Congé Synd.",D17="Congé Synd."),((G17-F17)+(I17-H17)+(K17-J17)=0)),VLOOKUP(D17,Systeemgegevens!$J:$K,2,FALSE),IF(AND(D17="1/2 Congé + 1/2 synd.",((G17-F17)+(I17-H17)+(K17-J17)=0)),AC17,0))</f>
        <v>0</v>
      </c>
      <c r="AE17" s="43">
        <f>IF(AND(D17="Jour de pont",((G17-F17)+(I17-H17)+(K17-J17)=0)),VLOOKUP(D17,Systeemgegevens!$J:$K,2,FALSE),0)</f>
        <v>0</v>
      </c>
      <c r="AF17" s="43">
        <f>IF(AND(D17="Jour libre 4/5",AND((G17-F17)+(I17-H17)+(K17-J17)=0)),VLOOKUP(D17,Systeemgegevens!$J:$K,2,FALSE),0)</f>
        <v>0</v>
      </c>
      <c r="AG17" s="118">
        <f>IF(AND(D17&lt;&gt;"",SUM(AB17:AF17)=0,D17&lt;&gt;$AB$4,D17&lt;&gt;$AC$4,D17&lt;&gt;$AE$4,D17&lt;&gt;$AF$4),VLOOKUP(D17,Systeemgegevens!$J:$K,2,FALSE),0)</f>
        <v>0</v>
      </c>
      <c r="AH17" s="119">
        <f t="shared" si="6"/>
        <v>0</v>
      </c>
      <c r="AI17" s="101">
        <f t="shared" si="7"/>
        <v>0</v>
      </c>
      <c r="AJ17" s="118">
        <f t="shared" si="19"/>
        <v>0</v>
      </c>
      <c r="AK17" s="119">
        <f t="shared" si="8"/>
        <v>0</v>
      </c>
      <c r="AL17" s="101">
        <f t="shared" si="9"/>
        <v>0</v>
      </c>
      <c r="AM17" s="43">
        <f t="shared" si="20"/>
        <v>0</v>
      </c>
      <c r="AN17" s="118">
        <f t="shared" si="21"/>
        <v>0</v>
      </c>
      <c r="AO17" s="122">
        <f t="shared" si="10"/>
        <v>0</v>
      </c>
      <c r="AP17" s="107">
        <f t="shared" si="11"/>
        <v>0</v>
      </c>
      <c r="AQ17" s="107">
        <f t="shared" si="12"/>
        <v>0</v>
      </c>
      <c r="AR17" s="123">
        <f t="shared" si="13"/>
        <v>0</v>
      </c>
      <c r="AS17" s="124">
        <f t="shared" si="14"/>
        <v>0</v>
      </c>
      <c r="AT17" s="124">
        <f t="shared" si="15"/>
        <v>0</v>
      </c>
      <c r="AU17" s="124">
        <f t="shared" si="16"/>
        <v>0</v>
      </c>
      <c r="AV17" s="117" t="s">
        <v>28</v>
      </c>
      <c r="AW17" s="129">
        <f>IF(($R$41=AV17)*AND($R$42&lt;&gt;""),VLOOKUP($R$42,'Barèmes police'!$AC$4:$AD$30,2),0)</f>
        <v>0</v>
      </c>
      <c r="AX17" s="16" t="str">
        <f>IF('Types de jours'!F23&lt;&gt;"",'Types de jours'!F23,"")</f>
        <v>Jour libre 4/5</v>
      </c>
      <c r="AY17" s="144">
        <f>IF(AX17&lt;&gt;"",'Types de jours'!I23,"")</f>
        <v>0</v>
      </c>
      <c r="AZ17" s="269"/>
      <c r="BA17" s="154"/>
      <c r="BB17" s="154"/>
      <c r="BC17" s="154"/>
      <c r="BD17" s="154"/>
      <c r="BE17" s="154"/>
      <c r="BF17" s="154"/>
    </row>
    <row r="18" spans="1:58" ht="12.75" customHeight="1" x14ac:dyDescent="0.2">
      <c r="A18" s="34"/>
      <c r="B18" s="24" t="str">
        <f t="shared" si="0"/>
        <v>Je</v>
      </c>
      <c r="C18" s="25">
        <f t="shared" si="22"/>
        <v>45484</v>
      </c>
      <c r="D18" s="51"/>
      <c r="E18" s="116"/>
      <c r="F18" s="52"/>
      <c r="G18" s="53"/>
      <c r="H18" s="52"/>
      <c r="I18" s="53"/>
      <c r="J18" s="54"/>
      <c r="K18" s="55"/>
      <c r="L18" s="40">
        <f t="shared" si="1"/>
        <v>0</v>
      </c>
      <c r="M18" s="41">
        <f t="shared" si="23"/>
        <v>0</v>
      </c>
      <c r="N18" s="42">
        <f>IF(AND(D18&lt;&gt;"Jour libre 4/5",B18&lt;&gt;"Sa",B18&lt;&gt;"Di"),SUM(N17,Configuration!$H$41),SUM(N17))</f>
        <v>2.8499999999999996</v>
      </c>
      <c r="O18" s="49" t="str">
        <f t="shared" si="24"/>
        <v>-</v>
      </c>
      <c r="P18" s="143">
        <f t="shared" si="17"/>
        <v>2.8499999999999996</v>
      </c>
      <c r="Q18" s="167">
        <f t="shared" si="18"/>
        <v>0</v>
      </c>
      <c r="R18" s="168">
        <f t="shared" si="18"/>
        <v>0</v>
      </c>
      <c r="S18" s="168">
        <f t="shared" si="18"/>
        <v>0</v>
      </c>
      <c r="T18" s="169">
        <f t="shared" si="18"/>
        <v>0</v>
      </c>
      <c r="U18" s="97">
        <f t="shared" si="2"/>
        <v>0</v>
      </c>
      <c r="V18" s="97">
        <f t="shared" si="3"/>
        <v>0</v>
      </c>
      <c r="W18" s="97">
        <f t="shared" si="4"/>
        <v>0</v>
      </c>
      <c r="X18" s="97">
        <f t="shared" si="5"/>
        <v>0</v>
      </c>
      <c r="Y18" s="209"/>
      <c r="Z18" s="210"/>
      <c r="AA18" s="210"/>
      <c r="AB18" s="128">
        <f>IF(AND(D18="Jour férié semaine",((G18-F18)+(I18-H18)+(K18-J18)=0)),VLOOKUP(D18,Systeemgegevens!$J:$K,2,FALSE),0)</f>
        <v>0</v>
      </c>
      <c r="AC18" s="43">
        <f>IF(AND(NOT(ISERROR(FIND("Congé",D18))),ISERROR(FIND("1/2",D18)),ISERROR(FIND("Synd",D18)),ISERROR(FIND("synd",D18)),(G18-F18+I18-H18+K18-J18)=0),VLOOKUP(D18,Systeemgegevens!$J:$K,2,FALSE),IF(AND(NOT(ISERROR(FIND("1/2 Congé + ",D18))),(G18-F18+I18-H18+K18-J18)=0),VLOOKUP(D18,Systeemgegevens!$J:$K,2,FALSE)/2,IF(AND(NOT(ISERROR(FIND("1/2 Congé",D18))),ISERROR(FIND(" + ",D18)),ISERROR(FIND("1/2 Congé Synd.",D18))),VLOOKUP(D18,Systeemgegevens!$J:$K,2,FALSE),0)))</f>
        <v>0</v>
      </c>
      <c r="AD18" s="43">
        <f>IF(AND(OR(D18="1/2 Congé Synd.",D18="Congé Synd."),((G18-F18)+(I18-H18)+(K18-J18)=0)),VLOOKUP(D18,Systeemgegevens!$J:$K,2,FALSE),IF(AND(D18="1/2 Congé + 1/2 synd.",((G18-F18)+(I18-H18)+(K18-J18)=0)),AC18,0))</f>
        <v>0</v>
      </c>
      <c r="AE18" s="43">
        <f>IF(AND(D18="Jour de pont",((G18-F18)+(I18-H18)+(K18-J18)=0)),VLOOKUP(D18,Systeemgegevens!$J:$K,2,FALSE),0)</f>
        <v>0</v>
      </c>
      <c r="AF18" s="43">
        <f>IF(AND(D18="Jour libre 4/5",AND((G18-F18)+(I18-H18)+(K18-J18)=0)),VLOOKUP(D18,Systeemgegevens!$J:$K,2,FALSE),0)</f>
        <v>0</v>
      </c>
      <c r="AG18" s="118">
        <f>IF(AND(D18&lt;&gt;"",SUM(AB18:AF18)=0,D18&lt;&gt;$AB$4,D18&lt;&gt;$AC$4,D18&lt;&gt;$AE$4,D18&lt;&gt;$AF$4),VLOOKUP(D18,Systeemgegevens!$J:$K,2,FALSE),0)</f>
        <v>0</v>
      </c>
      <c r="AH18" s="119">
        <f t="shared" si="6"/>
        <v>0</v>
      </c>
      <c r="AI18" s="101">
        <f t="shared" si="7"/>
        <v>0</v>
      </c>
      <c r="AJ18" s="118">
        <f t="shared" si="19"/>
        <v>0</v>
      </c>
      <c r="AK18" s="119">
        <f t="shared" si="8"/>
        <v>0</v>
      </c>
      <c r="AL18" s="101">
        <f t="shared" si="9"/>
        <v>0</v>
      </c>
      <c r="AM18" s="43">
        <f t="shared" si="20"/>
        <v>0</v>
      </c>
      <c r="AN18" s="118">
        <f t="shared" si="21"/>
        <v>0</v>
      </c>
      <c r="AO18" s="122">
        <f t="shared" si="10"/>
        <v>0</v>
      </c>
      <c r="AP18" s="107">
        <f t="shared" si="11"/>
        <v>0</v>
      </c>
      <c r="AQ18" s="107">
        <f t="shared" si="12"/>
        <v>0</v>
      </c>
      <c r="AR18" s="123">
        <f t="shared" si="13"/>
        <v>0</v>
      </c>
      <c r="AS18" s="124">
        <f t="shared" si="14"/>
        <v>0</v>
      </c>
      <c r="AT18" s="124">
        <f t="shared" si="15"/>
        <v>0</v>
      </c>
      <c r="AU18" s="124">
        <f t="shared" si="16"/>
        <v>0</v>
      </c>
      <c r="AV18" s="117" t="s">
        <v>27</v>
      </c>
      <c r="AW18" s="129">
        <f>IF(($R$41=AV18)*AND($R$42&lt;&gt;""),VLOOKUP($R$42,'Barèmes police'!$AF$4:$AG$30,2),0)</f>
        <v>0</v>
      </c>
      <c r="AX18" s="16" t="str">
        <f>IF('Types de jours'!F24&lt;&gt;"",'Types de jours'!F24,"")</f>
        <v>Jour de pont</v>
      </c>
      <c r="AY18" s="144">
        <f>IF(AX18&lt;&gt;"",'Types de jours'!I24,"")</f>
        <v>0.31666666666666665</v>
      </c>
      <c r="AZ18" s="269"/>
      <c r="BA18" s="154"/>
      <c r="BB18" s="154"/>
      <c r="BC18" s="154"/>
      <c r="BD18" s="154"/>
      <c r="BE18" s="154"/>
      <c r="BF18" s="154"/>
    </row>
    <row r="19" spans="1:58" ht="12.75" customHeight="1" x14ac:dyDescent="0.2">
      <c r="A19" s="34"/>
      <c r="B19" s="24" t="str">
        <f t="shared" si="0"/>
        <v>Ve</v>
      </c>
      <c r="C19" s="25">
        <f t="shared" si="22"/>
        <v>45485</v>
      </c>
      <c r="D19" s="51"/>
      <c r="E19" s="116"/>
      <c r="F19" s="52"/>
      <c r="G19" s="53"/>
      <c r="H19" s="52"/>
      <c r="I19" s="53"/>
      <c r="J19" s="54"/>
      <c r="K19" s="55"/>
      <c r="L19" s="40">
        <f t="shared" si="1"/>
        <v>0</v>
      </c>
      <c r="M19" s="41">
        <f t="shared" si="23"/>
        <v>0</v>
      </c>
      <c r="N19" s="42">
        <f>IF(AND(D19&lt;&gt;"Jour libre 4/5",B19&lt;&gt;"Sa",B19&lt;&gt;"Di"),SUM(N18,Configuration!$H$41),SUM(N18))</f>
        <v>3.1666666666666661</v>
      </c>
      <c r="O19" s="49" t="str">
        <f t="shared" si="24"/>
        <v>-</v>
      </c>
      <c r="P19" s="143">
        <f t="shared" si="17"/>
        <v>3.1666666666666661</v>
      </c>
      <c r="Q19" s="167">
        <f t="shared" si="18"/>
        <v>0</v>
      </c>
      <c r="R19" s="168">
        <f t="shared" si="18"/>
        <v>0</v>
      </c>
      <c r="S19" s="168">
        <f t="shared" si="18"/>
        <v>0</v>
      </c>
      <c r="T19" s="169">
        <f t="shared" si="18"/>
        <v>0</v>
      </c>
      <c r="U19" s="97">
        <f t="shared" si="2"/>
        <v>0</v>
      </c>
      <c r="V19" s="97">
        <f t="shared" si="3"/>
        <v>0</v>
      </c>
      <c r="W19" s="97">
        <f t="shared" si="4"/>
        <v>0</v>
      </c>
      <c r="X19" s="97">
        <f t="shared" si="5"/>
        <v>0</v>
      </c>
      <c r="Y19" s="209"/>
      <c r="Z19" s="210"/>
      <c r="AA19" s="210"/>
      <c r="AB19" s="128">
        <f>IF(AND(D19="Jour férié semaine",((G19-F19)+(I19-H19)+(K19-J19)=0)),VLOOKUP(D19,Systeemgegevens!$J:$K,2,FALSE),0)</f>
        <v>0</v>
      </c>
      <c r="AC19" s="43">
        <f>IF(AND(NOT(ISERROR(FIND("Congé",D19))),ISERROR(FIND("1/2",D19)),ISERROR(FIND("Synd",D19)),ISERROR(FIND("synd",D19)),(G19-F19+I19-H19+K19-J19)=0),VLOOKUP(D19,Systeemgegevens!$J:$K,2,FALSE),IF(AND(NOT(ISERROR(FIND("1/2 Congé + ",D19))),(G19-F19+I19-H19+K19-J19)=0),VLOOKUP(D19,Systeemgegevens!$J:$K,2,FALSE)/2,IF(AND(NOT(ISERROR(FIND("1/2 Congé",D19))),ISERROR(FIND(" + ",D19)),ISERROR(FIND("1/2 Congé Synd.",D19))),VLOOKUP(D19,Systeemgegevens!$J:$K,2,FALSE),0)))</f>
        <v>0</v>
      </c>
      <c r="AD19" s="43">
        <f>IF(AND(OR(D19="1/2 Congé Synd.",D19="Congé Synd."),((G19-F19)+(I19-H19)+(K19-J19)=0)),VLOOKUP(D19,Systeemgegevens!$J:$K,2,FALSE),IF(AND(D19="1/2 Congé + 1/2 synd.",((G19-F19)+(I19-H19)+(K19-J19)=0)),AC19,0))</f>
        <v>0</v>
      </c>
      <c r="AE19" s="43">
        <f>IF(AND(D19="Jour de pont",((G19-F19)+(I19-H19)+(K19-J19)=0)),VLOOKUP(D19,Systeemgegevens!$J:$K,2,FALSE),0)</f>
        <v>0</v>
      </c>
      <c r="AF19" s="43">
        <f>IF(AND(D19="Jour libre 4/5",AND((G19-F19)+(I19-H19)+(K19-J19)=0)),VLOOKUP(D19,Systeemgegevens!$J:$K,2,FALSE),0)</f>
        <v>0</v>
      </c>
      <c r="AG19" s="118">
        <f>IF(AND(D19&lt;&gt;"",SUM(AB19:AF19)=0,D19&lt;&gt;$AB$4,D19&lt;&gt;$AC$4,D19&lt;&gt;$AE$4,D19&lt;&gt;$AF$4),VLOOKUP(D19,Systeemgegevens!$J:$K,2,FALSE),0)</f>
        <v>0</v>
      </c>
      <c r="AH19" s="119">
        <f t="shared" si="6"/>
        <v>0</v>
      </c>
      <c r="AI19" s="101">
        <f t="shared" si="7"/>
        <v>0</v>
      </c>
      <c r="AJ19" s="118">
        <f t="shared" si="19"/>
        <v>0</v>
      </c>
      <c r="AK19" s="119">
        <f t="shared" si="8"/>
        <v>0</v>
      </c>
      <c r="AL19" s="101">
        <f t="shared" si="9"/>
        <v>0</v>
      </c>
      <c r="AM19" s="43">
        <f t="shared" si="20"/>
        <v>0</v>
      </c>
      <c r="AN19" s="118">
        <f t="shared" si="21"/>
        <v>0</v>
      </c>
      <c r="AO19" s="122">
        <f t="shared" si="10"/>
        <v>0</v>
      </c>
      <c r="AP19" s="107">
        <f t="shared" si="11"/>
        <v>0</v>
      </c>
      <c r="AQ19" s="107">
        <f t="shared" si="12"/>
        <v>0</v>
      </c>
      <c r="AR19" s="123">
        <f t="shared" si="13"/>
        <v>0</v>
      </c>
      <c r="AS19" s="124">
        <f t="shared" si="14"/>
        <v>0</v>
      </c>
      <c r="AT19" s="124">
        <f t="shared" si="15"/>
        <v>0</v>
      </c>
      <c r="AU19" s="124">
        <f t="shared" si="16"/>
        <v>0</v>
      </c>
      <c r="AV19" s="117" t="s">
        <v>26</v>
      </c>
      <c r="AW19" s="129">
        <f>IF(($R$41=AV19)*AND($R$42&lt;&gt;""),VLOOKUP($R$42,'Barèmes police'!$AI$4:$AJ$30,2),0)</f>
        <v>0</v>
      </c>
      <c r="AX19" s="16" t="str">
        <f>IF('Types de jours'!F25&lt;&gt;"",'Types de jours'!F25,"")</f>
        <v>Congé 12h</v>
      </c>
      <c r="AY19" s="144">
        <f>IF(AX19&lt;&gt;"",'Types de jours'!I25,"")</f>
        <v>0.5</v>
      </c>
      <c r="AZ19" s="269"/>
      <c r="BA19" s="154"/>
      <c r="BB19" s="154"/>
      <c r="BC19" s="154"/>
      <c r="BD19" s="154"/>
      <c r="BE19" s="154"/>
      <c r="BF19" s="154"/>
    </row>
    <row r="20" spans="1:58" ht="12.75" customHeight="1" x14ac:dyDescent="0.2">
      <c r="A20" s="34"/>
      <c r="B20" s="24" t="str">
        <f t="shared" si="0"/>
        <v>Sa</v>
      </c>
      <c r="C20" s="25">
        <f t="shared" si="22"/>
        <v>45486</v>
      </c>
      <c r="D20" s="51"/>
      <c r="E20" s="116"/>
      <c r="F20" s="52"/>
      <c r="G20" s="53"/>
      <c r="H20" s="52"/>
      <c r="I20" s="53"/>
      <c r="J20" s="54"/>
      <c r="K20" s="55"/>
      <c r="L20" s="40">
        <f t="shared" si="1"/>
        <v>0</v>
      </c>
      <c r="M20" s="41">
        <f t="shared" si="23"/>
        <v>0</v>
      </c>
      <c r="N20" s="42">
        <f>IF(AND(D20&lt;&gt;"Jour libre 4/5",B20&lt;&gt;"Sa",B20&lt;&gt;"Di"),SUM(N19,Configuration!$H$41),SUM(N19))</f>
        <v>3.1666666666666661</v>
      </c>
      <c r="O20" s="49" t="str">
        <f t="shared" si="24"/>
        <v>-</v>
      </c>
      <c r="P20" s="143">
        <f t="shared" si="17"/>
        <v>3.1666666666666661</v>
      </c>
      <c r="Q20" s="167">
        <f t="shared" si="18"/>
        <v>0</v>
      </c>
      <c r="R20" s="168">
        <f t="shared" si="18"/>
        <v>0</v>
      </c>
      <c r="S20" s="168">
        <f t="shared" si="18"/>
        <v>0</v>
      </c>
      <c r="T20" s="169">
        <f t="shared" si="18"/>
        <v>0</v>
      </c>
      <c r="U20" s="97">
        <f t="shared" si="2"/>
        <v>0</v>
      </c>
      <c r="V20" s="97">
        <f t="shared" si="3"/>
        <v>0</v>
      </c>
      <c r="W20" s="97">
        <f t="shared" si="4"/>
        <v>0</v>
      </c>
      <c r="X20" s="97">
        <f t="shared" si="5"/>
        <v>0</v>
      </c>
      <c r="Y20" s="209"/>
      <c r="Z20" s="210"/>
      <c r="AA20" s="210"/>
      <c r="AB20" s="128">
        <f>IF(AND(D20="Jour férié semaine",((G20-F20)+(I20-H20)+(K20-J20)=0)),VLOOKUP(D20,Systeemgegevens!$J:$K,2,FALSE),0)</f>
        <v>0</v>
      </c>
      <c r="AC20" s="43">
        <f>IF(AND(NOT(ISERROR(FIND("Congé",D20))),ISERROR(FIND("1/2",D20)),ISERROR(FIND("Synd",D20)),ISERROR(FIND("synd",D20)),(G20-F20+I20-H20+K20-J20)=0),VLOOKUP(D20,Systeemgegevens!$J:$K,2,FALSE),IF(AND(NOT(ISERROR(FIND("1/2 Congé + ",D20))),(G20-F20+I20-H20+K20-J20)=0),VLOOKUP(D20,Systeemgegevens!$J:$K,2,FALSE)/2,IF(AND(NOT(ISERROR(FIND("1/2 Congé",D20))),ISERROR(FIND(" + ",D20)),ISERROR(FIND("1/2 Congé Synd.",D20))),VLOOKUP(D20,Systeemgegevens!$J:$K,2,FALSE),0)))</f>
        <v>0</v>
      </c>
      <c r="AD20" s="43">
        <f>IF(AND(OR(D20="1/2 Congé Synd.",D20="Congé Synd."),((G20-F20)+(I20-H20)+(K20-J20)=0)),VLOOKUP(D20,Systeemgegevens!$J:$K,2,FALSE),IF(AND(D20="1/2 Congé + 1/2 synd.",((G20-F20)+(I20-H20)+(K20-J20)=0)),AC20,0))</f>
        <v>0</v>
      </c>
      <c r="AE20" s="43">
        <f>IF(AND(D20="Jour de pont",((G20-F20)+(I20-H20)+(K20-J20)=0)),VLOOKUP(D20,Systeemgegevens!$J:$K,2,FALSE),0)</f>
        <v>0</v>
      </c>
      <c r="AF20" s="43">
        <f>IF(AND(D20="Jour libre 4/5",AND((G20-F20)+(I20-H20)+(K20-J20)=0)),VLOOKUP(D20,Systeemgegevens!$J:$K,2,FALSE),0)</f>
        <v>0</v>
      </c>
      <c r="AG20" s="118">
        <f>IF(AND(D20&lt;&gt;"",SUM(AB20:AF20)=0,D20&lt;&gt;$AB$4,D20&lt;&gt;$AC$4,D20&lt;&gt;$AE$4,D20&lt;&gt;$AF$4),VLOOKUP(D20,Systeemgegevens!$J:$K,2,FALSE),0)</f>
        <v>0</v>
      </c>
      <c r="AH20" s="119">
        <f t="shared" si="6"/>
        <v>0</v>
      </c>
      <c r="AI20" s="101">
        <f t="shared" si="7"/>
        <v>0</v>
      </c>
      <c r="AJ20" s="118">
        <f t="shared" si="19"/>
        <v>0</v>
      </c>
      <c r="AK20" s="119">
        <f t="shared" si="8"/>
        <v>0</v>
      </c>
      <c r="AL20" s="101">
        <f t="shared" si="9"/>
        <v>0</v>
      </c>
      <c r="AM20" s="43">
        <f t="shared" si="20"/>
        <v>0</v>
      </c>
      <c r="AN20" s="118">
        <f t="shared" si="21"/>
        <v>0</v>
      </c>
      <c r="AO20" s="122">
        <f t="shared" si="10"/>
        <v>0</v>
      </c>
      <c r="AP20" s="107">
        <f t="shared" si="11"/>
        <v>0</v>
      </c>
      <c r="AQ20" s="107">
        <f t="shared" si="12"/>
        <v>0</v>
      </c>
      <c r="AR20" s="123">
        <f t="shared" si="13"/>
        <v>0</v>
      </c>
      <c r="AS20" s="124">
        <f t="shared" si="14"/>
        <v>0</v>
      </c>
      <c r="AT20" s="124">
        <f t="shared" si="15"/>
        <v>0</v>
      </c>
      <c r="AU20" s="124">
        <f t="shared" si="16"/>
        <v>0</v>
      </c>
      <c r="AV20" s="117" t="s">
        <v>25</v>
      </c>
      <c r="AW20" s="129">
        <f>IF(($R$41=AV20)*AND($R$42&lt;&gt;""),VLOOKUP($R$42,'Barèmes police'!$AL$4:$AM$30,2),0)</f>
        <v>0</v>
      </c>
      <c r="AX20" s="16" t="str">
        <f>IF('Types de jours'!F26&lt;&gt;"",'Types de jours'!F26,"")</f>
        <v/>
      </c>
      <c r="AY20" s="144" t="str">
        <f>IF(AX20&lt;&gt;"",'Types de jours'!I26,"")</f>
        <v/>
      </c>
      <c r="AZ20" s="269"/>
      <c r="BA20" s="154"/>
      <c r="BB20" s="154"/>
      <c r="BC20" s="154"/>
      <c r="BD20" s="154"/>
      <c r="BE20" s="154"/>
      <c r="BF20" s="154"/>
    </row>
    <row r="21" spans="1:58" ht="12.75" customHeight="1" x14ac:dyDescent="0.2">
      <c r="A21" s="34"/>
      <c r="B21" s="24" t="str">
        <f t="shared" si="0"/>
        <v>Di</v>
      </c>
      <c r="C21" s="25">
        <f t="shared" si="22"/>
        <v>45487</v>
      </c>
      <c r="D21" s="51"/>
      <c r="E21" s="116"/>
      <c r="F21" s="52"/>
      <c r="G21" s="53"/>
      <c r="H21" s="52"/>
      <c r="I21" s="53"/>
      <c r="J21" s="54"/>
      <c r="K21" s="55"/>
      <c r="L21" s="40">
        <f t="shared" si="1"/>
        <v>0</v>
      </c>
      <c r="M21" s="41">
        <f t="shared" si="23"/>
        <v>0</v>
      </c>
      <c r="N21" s="42">
        <f>IF(AND(D21&lt;&gt;"Jour libre 4/5",B21&lt;&gt;"Sa",B21&lt;&gt;"Di"),SUM(N20,Configuration!$H$41),SUM(N20))</f>
        <v>3.1666666666666661</v>
      </c>
      <c r="O21" s="49" t="str">
        <f t="shared" si="24"/>
        <v>-</v>
      </c>
      <c r="P21" s="143">
        <f t="shared" si="17"/>
        <v>3.1666666666666661</v>
      </c>
      <c r="Q21" s="167">
        <f t="shared" si="18"/>
        <v>0</v>
      </c>
      <c r="R21" s="168">
        <f t="shared" si="18"/>
        <v>0</v>
      </c>
      <c r="S21" s="168">
        <f t="shared" si="18"/>
        <v>0</v>
      </c>
      <c r="T21" s="169">
        <f t="shared" si="18"/>
        <v>0</v>
      </c>
      <c r="U21" s="97">
        <f t="shared" si="2"/>
        <v>0</v>
      </c>
      <c r="V21" s="97">
        <f t="shared" si="3"/>
        <v>0</v>
      </c>
      <c r="W21" s="97">
        <f t="shared" si="4"/>
        <v>0</v>
      </c>
      <c r="X21" s="97">
        <f t="shared" si="5"/>
        <v>0</v>
      </c>
      <c r="Y21" s="209"/>
      <c r="Z21" s="210"/>
      <c r="AA21" s="210"/>
      <c r="AB21" s="128">
        <f>IF(AND(D21="Jour férié semaine",((G21-F21)+(I21-H21)+(K21-J21)=0)),VLOOKUP(D21,Systeemgegevens!$J:$K,2,FALSE),0)</f>
        <v>0</v>
      </c>
      <c r="AC21" s="43">
        <f>IF(AND(NOT(ISERROR(FIND("Congé",D21))),ISERROR(FIND("1/2",D21)),ISERROR(FIND("Synd",D21)),ISERROR(FIND("synd",D21)),(G21-F21+I21-H21+K21-J21)=0),VLOOKUP(D21,Systeemgegevens!$J:$K,2,FALSE),IF(AND(NOT(ISERROR(FIND("1/2 Congé + ",D21))),(G21-F21+I21-H21+K21-J21)=0),VLOOKUP(D21,Systeemgegevens!$J:$K,2,FALSE)/2,IF(AND(NOT(ISERROR(FIND("1/2 Congé",D21))),ISERROR(FIND(" + ",D21)),ISERROR(FIND("1/2 Congé Synd.",D21))),VLOOKUP(D21,Systeemgegevens!$J:$K,2,FALSE),0)))</f>
        <v>0</v>
      </c>
      <c r="AD21" s="43">
        <f>IF(AND(OR(D21="1/2 Congé Synd.",D21="Congé Synd."),((G21-F21)+(I21-H21)+(K21-J21)=0)),VLOOKUP(D21,Systeemgegevens!$J:$K,2,FALSE),IF(AND(D21="1/2 Congé + 1/2 synd.",((G21-F21)+(I21-H21)+(K21-J21)=0)),AC21,0))</f>
        <v>0</v>
      </c>
      <c r="AE21" s="43">
        <f>IF(AND(D21="Jour de pont",((G21-F21)+(I21-H21)+(K21-J21)=0)),VLOOKUP(D21,Systeemgegevens!$J:$K,2,FALSE),0)</f>
        <v>0</v>
      </c>
      <c r="AF21" s="43">
        <f>IF(AND(D21="Jour libre 4/5",AND((G21-F21)+(I21-H21)+(K21-J21)=0)),VLOOKUP(D21,Systeemgegevens!$J:$K,2,FALSE),0)</f>
        <v>0</v>
      </c>
      <c r="AG21" s="118">
        <f>IF(AND(D21&lt;&gt;"",SUM(AB21:AF21)=0,D21&lt;&gt;$AB$4,D21&lt;&gt;$AC$4,D21&lt;&gt;$AE$4,D21&lt;&gt;$AF$4),VLOOKUP(D21,Systeemgegevens!$J:$K,2,FALSE),0)</f>
        <v>0</v>
      </c>
      <c r="AH21" s="119">
        <f t="shared" si="6"/>
        <v>0</v>
      </c>
      <c r="AI21" s="101">
        <f t="shared" si="7"/>
        <v>0</v>
      </c>
      <c r="AJ21" s="118">
        <f t="shared" si="19"/>
        <v>0</v>
      </c>
      <c r="AK21" s="119">
        <f t="shared" si="8"/>
        <v>0</v>
      </c>
      <c r="AL21" s="101">
        <f t="shared" si="9"/>
        <v>0</v>
      </c>
      <c r="AM21" s="43">
        <f t="shared" si="20"/>
        <v>0</v>
      </c>
      <c r="AN21" s="118">
        <f t="shared" si="21"/>
        <v>0</v>
      </c>
      <c r="AO21" s="122">
        <f t="shared" si="10"/>
        <v>0</v>
      </c>
      <c r="AP21" s="107">
        <f t="shared" si="11"/>
        <v>0</v>
      </c>
      <c r="AQ21" s="107">
        <f t="shared" si="12"/>
        <v>0</v>
      </c>
      <c r="AR21" s="123">
        <f t="shared" si="13"/>
        <v>0</v>
      </c>
      <c r="AS21" s="124">
        <f t="shared" si="14"/>
        <v>0</v>
      </c>
      <c r="AT21" s="124">
        <f t="shared" si="15"/>
        <v>0</v>
      </c>
      <c r="AU21" s="124">
        <f t="shared" si="16"/>
        <v>0</v>
      </c>
      <c r="AV21" s="117" t="s">
        <v>24</v>
      </c>
      <c r="AW21" s="129">
        <f>IF(($R$41=AV21)*AND($R$42&lt;&gt;""),VLOOKUP($R$42,'Barèmes police'!$AO$4:$AP$30,2),0)</f>
        <v>0</v>
      </c>
      <c r="AX21" s="16" t="str">
        <f>IF('Types de jours'!F27&lt;&gt;"",'Types de jours'!F27,"")</f>
        <v/>
      </c>
      <c r="AY21" s="144" t="str">
        <f>IF(AX21&lt;&gt;"",'Types de jours'!I27,"")</f>
        <v/>
      </c>
      <c r="AZ21" s="269"/>
      <c r="BA21" s="154"/>
      <c r="BB21" s="154"/>
      <c r="BC21" s="154"/>
      <c r="BD21" s="154"/>
      <c r="BE21" s="154"/>
      <c r="BF21" s="154"/>
    </row>
    <row r="22" spans="1:58" ht="12.75" customHeight="1" x14ac:dyDescent="0.2">
      <c r="A22" s="34"/>
      <c r="B22" s="24" t="str">
        <f t="shared" si="0"/>
        <v>Lu</v>
      </c>
      <c r="C22" s="25">
        <f t="shared" si="22"/>
        <v>45488</v>
      </c>
      <c r="D22" s="51"/>
      <c r="E22" s="116"/>
      <c r="F22" s="52"/>
      <c r="G22" s="53"/>
      <c r="H22" s="52"/>
      <c r="I22" s="53"/>
      <c r="J22" s="54"/>
      <c r="K22" s="55"/>
      <c r="L22" s="40">
        <f t="shared" si="1"/>
        <v>0</v>
      </c>
      <c r="M22" s="41">
        <f t="shared" si="23"/>
        <v>0</v>
      </c>
      <c r="N22" s="42">
        <f>IF(AND(D22&lt;&gt;"Jour libre 4/5",B22&lt;&gt;"Sa",B22&lt;&gt;"Di"),SUM(N21,Configuration!$H$41),SUM(N21))</f>
        <v>3.4833333333333325</v>
      </c>
      <c r="O22" s="49" t="str">
        <f t="shared" si="24"/>
        <v>-</v>
      </c>
      <c r="P22" s="143">
        <f t="shared" si="17"/>
        <v>3.4833333333333325</v>
      </c>
      <c r="Q22" s="167">
        <f t="shared" si="18"/>
        <v>0</v>
      </c>
      <c r="R22" s="168">
        <f t="shared" si="18"/>
        <v>0</v>
      </c>
      <c r="S22" s="168">
        <f t="shared" si="18"/>
        <v>0</v>
      </c>
      <c r="T22" s="169">
        <f t="shared" si="18"/>
        <v>0</v>
      </c>
      <c r="U22" s="97">
        <f t="shared" si="2"/>
        <v>0</v>
      </c>
      <c r="V22" s="97">
        <f t="shared" si="3"/>
        <v>0</v>
      </c>
      <c r="W22" s="97">
        <f t="shared" si="4"/>
        <v>0</v>
      </c>
      <c r="X22" s="97">
        <f t="shared" si="5"/>
        <v>0</v>
      </c>
      <c r="Y22" s="209"/>
      <c r="Z22" s="210"/>
      <c r="AA22" s="210"/>
      <c r="AB22" s="128">
        <f>IF(AND(D22="Jour férié semaine",((G22-F22)+(I22-H22)+(K22-J22)=0)),VLOOKUP(D22,Systeemgegevens!$J:$K,2,FALSE),0)</f>
        <v>0</v>
      </c>
      <c r="AC22" s="43">
        <f>IF(AND(NOT(ISERROR(FIND("Congé",D22))),ISERROR(FIND("1/2",D22)),ISERROR(FIND("Synd",D22)),ISERROR(FIND("synd",D22)),(G22-F22+I22-H22+K22-J22)=0),VLOOKUP(D22,Systeemgegevens!$J:$K,2,FALSE),IF(AND(NOT(ISERROR(FIND("1/2 Congé + ",D22))),(G22-F22+I22-H22+K22-J22)=0),VLOOKUP(D22,Systeemgegevens!$J:$K,2,FALSE)/2,IF(AND(NOT(ISERROR(FIND("1/2 Congé",D22))),ISERROR(FIND(" + ",D22)),ISERROR(FIND("1/2 Congé Synd.",D22))),VLOOKUP(D22,Systeemgegevens!$J:$K,2,FALSE),0)))</f>
        <v>0</v>
      </c>
      <c r="AD22" s="43">
        <f>IF(AND(OR(D22="1/2 Congé Synd.",D22="Congé Synd."),((G22-F22)+(I22-H22)+(K22-J22)=0)),VLOOKUP(D22,Systeemgegevens!$J:$K,2,FALSE),IF(AND(D22="1/2 Congé + 1/2 synd.",((G22-F22)+(I22-H22)+(K22-J22)=0)),AC22,0))</f>
        <v>0</v>
      </c>
      <c r="AE22" s="43">
        <f>IF(AND(D22="Jour de pont",((G22-F22)+(I22-H22)+(K22-J22)=0)),VLOOKUP(D22,Systeemgegevens!$J:$K,2,FALSE),0)</f>
        <v>0</v>
      </c>
      <c r="AF22" s="43">
        <f>IF(AND(D22="Jour libre 4/5",AND((G22-F22)+(I22-H22)+(K22-J22)=0)),VLOOKUP(D22,Systeemgegevens!$J:$K,2,FALSE),0)</f>
        <v>0</v>
      </c>
      <c r="AG22" s="118">
        <f>IF(AND(D22&lt;&gt;"",SUM(AB22:AF22)=0,D22&lt;&gt;$AB$4,D22&lt;&gt;$AC$4,D22&lt;&gt;$AE$4,D22&lt;&gt;$AF$4),VLOOKUP(D22,Systeemgegevens!$J:$K,2,FALSE),0)</f>
        <v>0</v>
      </c>
      <c r="AH22" s="119">
        <f t="shared" si="6"/>
        <v>0</v>
      </c>
      <c r="AI22" s="101">
        <f t="shared" si="7"/>
        <v>0</v>
      </c>
      <c r="AJ22" s="118">
        <f t="shared" si="19"/>
        <v>0</v>
      </c>
      <c r="AK22" s="119">
        <f t="shared" si="8"/>
        <v>0</v>
      </c>
      <c r="AL22" s="101">
        <f t="shared" si="9"/>
        <v>0</v>
      </c>
      <c r="AM22" s="43">
        <f t="shared" si="20"/>
        <v>0</v>
      </c>
      <c r="AN22" s="118">
        <f t="shared" si="21"/>
        <v>0</v>
      </c>
      <c r="AO22" s="122">
        <f t="shared" si="10"/>
        <v>0</v>
      </c>
      <c r="AP22" s="107">
        <f t="shared" si="11"/>
        <v>0</v>
      </c>
      <c r="AQ22" s="107">
        <f t="shared" si="12"/>
        <v>0</v>
      </c>
      <c r="AR22" s="123">
        <f t="shared" si="13"/>
        <v>0</v>
      </c>
      <c r="AS22" s="124">
        <f t="shared" si="14"/>
        <v>0</v>
      </c>
      <c r="AT22" s="124">
        <f t="shared" si="15"/>
        <v>0</v>
      </c>
      <c r="AU22" s="124">
        <f t="shared" si="16"/>
        <v>0</v>
      </c>
      <c r="AV22" s="117" t="s">
        <v>23</v>
      </c>
      <c r="AW22" s="129">
        <f>IF(($R$41=AV22)*AND($R$42&lt;&gt;""),VLOOKUP($R$42,'Barèmes police'!$AR$4:$AS$30,2),0)</f>
        <v>0</v>
      </c>
      <c r="AX22" s="16" t="str">
        <f>IF('Types de jours'!F28&lt;&gt;"",'Types de jours'!F28,"")</f>
        <v/>
      </c>
      <c r="AY22" s="144" t="str">
        <f>IF(AX22&lt;&gt;"",'Types de jours'!I28,"")</f>
        <v/>
      </c>
      <c r="AZ22" s="269"/>
      <c r="BA22" s="154"/>
      <c r="BB22" s="154"/>
      <c r="BC22" s="154"/>
      <c r="BD22" s="154"/>
      <c r="BE22" s="154"/>
      <c r="BF22" s="154"/>
    </row>
    <row r="23" spans="1:58" ht="12.75" customHeight="1" x14ac:dyDescent="0.2">
      <c r="A23" s="34"/>
      <c r="B23" s="24" t="str">
        <f t="shared" si="0"/>
        <v>Ma</v>
      </c>
      <c r="C23" s="25">
        <f t="shared" si="22"/>
        <v>45489</v>
      </c>
      <c r="D23" s="51"/>
      <c r="E23" s="116"/>
      <c r="F23" s="52"/>
      <c r="G23" s="53"/>
      <c r="H23" s="52"/>
      <c r="I23" s="53"/>
      <c r="J23" s="54"/>
      <c r="K23" s="55"/>
      <c r="L23" s="40">
        <f t="shared" si="1"/>
        <v>0</v>
      </c>
      <c r="M23" s="41">
        <f t="shared" si="23"/>
        <v>0</v>
      </c>
      <c r="N23" s="42">
        <f>IF(AND(D23&lt;&gt;"Jour libre 4/5",B23&lt;&gt;"Sa",B23&lt;&gt;"Di"),SUM(N22,Configuration!$H$41),SUM(N22))</f>
        <v>3.7999999999999989</v>
      </c>
      <c r="O23" s="49" t="str">
        <f t="shared" si="24"/>
        <v>-</v>
      </c>
      <c r="P23" s="143">
        <f t="shared" si="17"/>
        <v>3.7999999999999989</v>
      </c>
      <c r="Q23" s="167">
        <f t="shared" si="18"/>
        <v>0</v>
      </c>
      <c r="R23" s="168">
        <f t="shared" si="18"/>
        <v>0</v>
      </c>
      <c r="S23" s="168">
        <f t="shared" si="18"/>
        <v>0</v>
      </c>
      <c r="T23" s="169">
        <f t="shared" si="18"/>
        <v>0</v>
      </c>
      <c r="U23" s="97">
        <f t="shared" si="2"/>
        <v>0</v>
      </c>
      <c r="V23" s="97">
        <f t="shared" si="3"/>
        <v>0</v>
      </c>
      <c r="W23" s="97">
        <f t="shared" si="4"/>
        <v>0</v>
      </c>
      <c r="X23" s="97">
        <f t="shared" si="5"/>
        <v>0</v>
      </c>
      <c r="Y23" s="209"/>
      <c r="Z23" s="210"/>
      <c r="AA23" s="210"/>
      <c r="AB23" s="128">
        <f>IF(AND(D23="Jour férié semaine",((G23-F23)+(I23-H23)+(K23-J23)=0)),VLOOKUP(D23,Systeemgegevens!$J:$K,2,FALSE),0)</f>
        <v>0</v>
      </c>
      <c r="AC23" s="43">
        <f>IF(AND(NOT(ISERROR(FIND("Congé",D23))),ISERROR(FIND("1/2",D23)),ISERROR(FIND("Synd",D23)),ISERROR(FIND("synd",D23)),(G23-F23+I23-H23+K23-J23)=0),VLOOKUP(D23,Systeemgegevens!$J:$K,2,FALSE),IF(AND(NOT(ISERROR(FIND("1/2 Congé + ",D23))),(G23-F23+I23-H23+K23-J23)=0),VLOOKUP(D23,Systeemgegevens!$J:$K,2,FALSE)/2,IF(AND(NOT(ISERROR(FIND("1/2 Congé",D23))),ISERROR(FIND(" + ",D23)),ISERROR(FIND("1/2 Congé Synd.",D23))),VLOOKUP(D23,Systeemgegevens!$J:$K,2,FALSE),0)))</f>
        <v>0</v>
      </c>
      <c r="AD23" s="43">
        <f>IF(AND(OR(D23="1/2 Congé Synd.",D23="Congé Synd."),((G23-F23)+(I23-H23)+(K23-J23)=0)),VLOOKUP(D23,Systeemgegevens!$J:$K,2,FALSE),IF(AND(D23="1/2 Congé + 1/2 synd.",((G23-F23)+(I23-H23)+(K23-J23)=0)),AC23,0))</f>
        <v>0</v>
      </c>
      <c r="AE23" s="43">
        <f>IF(AND(D23="Jour de pont",((G23-F23)+(I23-H23)+(K23-J23)=0)),VLOOKUP(D23,Systeemgegevens!$J:$K,2,FALSE),0)</f>
        <v>0</v>
      </c>
      <c r="AF23" s="43">
        <f>IF(AND(D23="Jour libre 4/5",AND((G23-F23)+(I23-H23)+(K23-J23)=0)),VLOOKUP(D23,Systeemgegevens!$J:$K,2,FALSE),0)</f>
        <v>0</v>
      </c>
      <c r="AG23" s="118">
        <f>IF(AND(D23&lt;&gt;"",SUM(AB23:AF23)=0,D23&lt;&gt;$AB$4,D23&lt;&gt;$AC$4,D23&lt;&gt;$AE$4,D23&lt;&gt;$AF$4),VLOOKUP(D23,Systeemgegevens!$J:$K,2,FALSE),0)</f>
        <v>0</v>
      </c>
      <c r="AH23" s="119">
        <f t="shared" si="6"/>
        <v>0</v>
      </c>
      <c r="AI23" s="101">
        <f t="shared" si="7"/>
        <v>0</v>
      </c>
      <c r="AJ23" s="118">
        <f t="shared" si="19"/>
        <v>0</v>
      </c>
      <c r="AK23" s="119">
        <f t="shared" si="8"/>
        <v>0</v>
      </c>
      <c r="AL23" s="101">
        <f t="shared" si="9"/>
        <v>0</v>
      </c>
      <c r="AM23" s="43">
        <f t="shared" si="20"/>
        <v>0</v>
      </c>
      <c r="AN23" s="118">
        <f t="shared" si="21"/>
        <v>0</v>
      </c>
      <c r="AO23" s="122">
        <f t="shared" si="10"/>
        <v>0</v>
      </c>
      <c r="AP23" s="107">
        <f t="shared" si="11"/>
        <v>0</v>
      </c>
      <c r="AQ23" s="107">
        <f t="shared" si="12"/>
        <v>0</v>
      </c>
      <c r="AR23" s="123">
        <f t="shared" si="13"/>
        <v>0</v>
      </c>
      <c r="AS23" s="124">
        <f t="shared" si="14"/>
        <v>0</v>
      </c>
      <c r="AT23" s="124">
        <f t="shared" si="15"/>
        <v>0</v>
      </c>
      <c r="AU23" s="124">
        <f t="shared" si="16"/>
        <v>0</v>
      </c>
      <c r="AV23" s="117" t="s">
        <v>22</v>
      </c>
      <c r="AW23" s="129">
        <f>IF(($R$41=AV23)*AND($R$42&lt;&gt;""),VLOOKUP($R$42,'Barèmes police'!$AU$4:$AV$34,2),0)</f>
        <v>0</v>
      </c>
      <c r="AX23" s="16" t="str">
        <f>IF('Types de jours'!F29&lt;&gt;"",'Types de jours'!F29,"")</f>
        <v/>
      </c>
      <c r="AY23" s="144" t="str">
        <f>IF(AX23&lt;&gt;"",'Types de jours'!I29,"")</f>
        <v/>
      </c>
      <c r="AZ23" s="269"/>
      <c r="BA23" s="154"/>
      <c r="BB23" s="154"/>
      <c r="BC23" s="154"/>
      <c r="BD23" s="154"/>
      <c r="BE23" s="154"/>
      <c r="BF23" s="154"/>
    </row>
    <row r="24" spans="1:58" ht="12.75" customHeight="1" x14ac:dyDescent="0.2">
      <c r="A24" s="34"/>
      <c r="B24" s="24" t="str">
        <f t="shared" si="0"/>
        <v>Me</v>
      </c>
      <c r="C24" s="25">
        <f t="shared" si="22"/>
        <v>45490</v>
      </c>
      <c r="D24" s="51"/>
      <c r="E24" s="116"/>
      <c r="F24" s="52"/>
      <c r="G24" s="53"/>
      <c r="H24" s="52"/>
      <c r="I24" s="53"/>
      <c r="J24" s="54"/>
      <c r="K24" s="55"/>
      <c r="L24" s="40">
        <f t="shared" si="1"/>
        <v>0</v>
      </c>
      <c r="M24" s="41">
        <f t="shared" si="23"/>
        <v>0</v>
      </c>
      <c r="N24" s="42">
        <f>IF(AND(D24&lt;&gt;"Jour libre 4/5",B24&lt;&gt;"Sa",B24&lt;&gt;"Di"),SUM(N23,Configuration!$H$41),SUM(N23))</f>
        <v>4.1166666666666654</v>
      </c>
      <c r="O24" s="49" t="str">
        <f t="shared" si="24"/>
        <v>-</v>
      </c>
      <c r="P24" s="143">
        <f t="shared" si="17"/>
        <v>4.1166666666666654</v>
      </c>
      <c r="Q24" s="167">
        <f t="shared" si="18"/>
        <v>0</v>
      </c>
      <c r="R24" s="168">
        <f t="shared" si="18"/>
        <v>0</v>
      </c>
      <c r="S24" s="168">
        <f t="shared" si="18"/>
        <v>0</v>
      </c>
      <c r="T24" s="169">
        <f t="shared" si="18"/>
        <v>0</v>
      </c>
      <c r="U24" s="97">
        <f t="shared" si="2"/>
        <v>0</v>
      </c>
      <c r="V24" s="97">
        <f t="shared" si="3"/>
        <v>0</v>
      </c>
      <c r="W24" s="97">
        <f t="shared" si="4"/>
        <v>0</v>
      </c>
      <c r="X24" s="97">
        <f t="shared" si="5"/>
        <v>0</v>
      </c>
      <c r="Y24" s="209"/>
      <c r="Z24" s="210"/>
      <c r="AA24" s="210"/>
      <c r="AB24" s="128">
        <f>IF(AND(D24="Jour férié semaine",((G24-F24)+(I24-H24)+(K24-J24)=0)),VLOOKUP(D24,Systeemgegevens!$J:$K,2,FALSE),0)</f>
        <v>0</v>
      </c>
      <c r="AC24" s="43">
        <f>IF(AND(NOT(ISERROR(FIND("Congé",D24))),ISERROR(FIND("1/2",D24)),ISERROR(FIND("Synd",D24)),ISERROR(FIND("synd",D24)),(G24-F24+I24-H24+K24-J24)=0),VLOOKUP(D24,Systeemgegevens!$J:$K,2,FALSE),IF(AND(NOT(ISERROR(FIND("1/2 Congé + ",D24))),(G24-F24+I24-H24+K24-J24)=0),VLOOKUP(D24,Systeemgegevens!$J:$K,2,FALSE)/2,IF(AND(NOT(ISERROR(FIND("1/2 Congé",D24))),ISERROR(FIND(" + ",D24)),ISERROR(FIND("1/2 Congé Synd.",D24))),VLOOKUP(D24,Systeemgegevens!$J:$K,2,FALSE),0)))</f>
        <v>0</v>
      </c>
      <c r="AD24" s="43">
        <f>IF(AND(OR(D24="1/2 Congé Synd.",D24="Congé Synd."),((G24-F24)+(I24-H24)+(K24-J24)=0)),VLOOKUP(D24,Systeemgegevens!$J:$K,2,FALSE),IF(AND(D24="1/2 Congé + 1/2 synd.",((G24-F24)+(I24-H24)+(K24-J24)=0)),AC24,0))</f>
        <v>0</v>
      </c>
      <c r="AE24" s="43">
        <f>IF(AND(D24="Jour de pont",((G24-F24)+(I24-H24)+(K24-J24)=0)),VLOOKUP(D24,Systeemgegevens!$J:$K,2,FALSE),0)</f>
        <v>0</v>
      </c>
      <c r="AF24" s="43">
        <f>IF(AND(D24="Jour libre 4/5",AND((G24-F24)+(I24-H24)+(K24-J24)=0)),VLOOKUP(D24,Systeemgegevens!$J:$K,2,FALSE),0)</f>
        <v>0</v>
      </c>
      <c r="AG24" s="118">
        <f>IF(AND(D24&lt;&gt;"",SUM(AB24:AF24)=0,D24&lt;&gt;$AB$4,D24&lt;&gt;$AC$4,D24&lt;&gt;$AE$4,D24&lt;&gt;$AF$4),VLOOKUP(D24,Systeemgegevens!$J:$K,2,FALSE),0)</f>
        <v>0</v>
      </c>
      <c r="AH24" s="119">
        <f t="shared" si="6"/>
        <v>0</v>
      </c>
      <c r="AI24" s="101">
        <f t="shared" si="7"/>
        <v>0</v>
      </c>
      <c r="AJ24" s="118">
        <f t="shared" si="19"/>
        <v>0</v>
      </c>
      <c r="AK24" s="119">
        <f t="shared" si="8"/>
        <v>0</v>
      </c>
      <c r="AL24" s="101">
        <f t="shared" si="9"/>
        <v>0</v>
      </c>
      <c r="AM24" s="43">
        <f t="shared" si="20"/>
        <v>0</v>
      </c>
      <c r="AN24" s="118">
        <f t="shared" si="21"/>
        <v>0</v>
      </c>
      <c r="AO24" s="122">
        <f t="shared" si="10"/>
        <v>0</v>
      </c>
      <c r="AP24" s="107">
        <f t="shared" si="11"/>
        <v>0</v>
      </c>
      <c r="AQ24" s="107">
        <f t="shared" si="12"/>
        <v>0</v>
      </c>
      <c r="AR24" s="123">
        <f t="shared" si="13"/>
        <v>0</v>
      </c>
      <c r="AS24" s="124">
        <f t="shared" si="14"/>
        <v>0</v>
      </c>
      <c r="AT24" s="124">
        <f t="shared" si="15"/>
        <v>0</v>
      </c>
      <c r="AU24" s="124">
        <f t="shared" si="16"/>
        <v>0</v>
      </c>
      <c r="AV24" s="117" t="s">
        <v>21</v>
      </c>
      <c r="AW24" s="129">
        <f>IF(($R$41=AV24)*AND($R$42&lt;&gt;""),VLOOKUP($R$42,'Barèmes police'!$AX$4:$AY$30,2),0)</f>
        <v>0</v>
      </c>
      <c r="AX24" s="16" t="str">
        <f>IF('Types de jours'!F30&lt;&gt;"",'Types de jours'!F30,"")</f>
        <v/>
      </c>
      <c r="AY24" s="144" t="str">
        <f>IF(AX24&lt;&gt;"",'Types de jours'!I30,"")</f>
        <v/>
      </c>
      <c r="AZ24" s="269"/>
      <c r="BA24" s="154"/>
      <c r="BB24" s="154"/>
      <c r="BC24" s="154"/>
      <c r="BD24" s="154"/>
      <c r="BE24" s="154"/>
      <c r="BF24" s="154"/>
    </row>
    <row r="25" spans="1:58" ht="12.75" customHeight="1" x14ac:dyDescent="0.2">
      <c r="A25" s="34"/>
      <c r="B25" s="24" t="str">
        <f t="shared" si="0"/>
        <v>Je</v>
      </c>
      <c r="C25" s="25">
        <f t="shared" si="22"/>
        <v>45491</v>
      </c>
      <c r="D25" s="51"/>
      <c r="E25" s="116"/>
      <c r="F25" s="52"/>
      <c r="G25" s="53"/>
      <c r="H25" s="52"/>
      <c r="I25" s="53"/>
      <c r="J25" s="54"/>
      <c r="K25" s="55"/>
      <c r="L25" s="40">
        <f t="shared" si="1"/>
        <v>0</v>
      </c>
      <c r="M25" s="41">
        <f t="shared" si="23"/>
        <v>0</v>
      </c>
      <c r="N25" s="42">
        <f>IF(AND(D25&lt;&gt;"Jour libre 4/5",B25&lt;&gt;"Sa",B25&lt;&gt;"Di"),SUM(N24,Configuration!$H$41),SUM(N24))</f>
        <v>4.4333333333333318</v>
      </c>
      <c r="O25" s="49" t="str">
        <f t="shared" si="24"/>
        <v>-</v>
      </c>
      <c r="P25" s="143">
        <f t="shared" si="17"/>
        <v>4.4333333333333318</v>
      </c>
      <c r="Q25" s="167">
        <f t="shared" si="18"/>
        <v>0</v>
      </c>
      <c r="R25" s="168">
        <f t="shared" si="18"/>
        <v>0</v>
      </c>
      <c r="S25" s="168">
        <f t="shared" si="18"/>
        <v>0</v>
      </c>
      <c r="T25" s="169">
        <f t="shared" si="18"/>
        <v>0</v>
      </c>
      <c r="U25" s="97">
        <f t="shared" si="2"/>
        <v>0</v>
      </c>
      <c r="V25" s="97">
        <f t="shared" si="3"/>
        <v>0</v>
      </c>
      <c r="W25" s="97">
        <f t="shared" si="4"/>
        <v>0</v>
      </c>
      <c r="X25" s="97">
        <f t="shared" si="5"/>
        <v>0</v>
      </c>
      <c r="Y25" s="209"/>
      <c r="Z25" s="210"/>
      <c r="AA25" s="210"/>
      <c r="AB25" s="128">
        <f>IF(AND(D25="Jour férié semaine",((G25-F25)+(I25-H25)+(K25-J25)=0)),VLOOKUP(D25,Systeemgegevens!$J:$K,2,FALSE),0)</f>
        <v>0</v>
      </c>
      <c r="AC25" s="43">
        <f>IF(AND(NOT(ISERROR(FIND("Congé",D25))),ISERROR(FIND("1/2",D25)),ISERROR(FIND("Synd",D25)),ISERROR(FIND("synd",D25)),(G25-F25+I25-H25+K25-J25)=0),VLOOKUP(D25,Systeemgegevens!$J:$K,2,FALSE),IF(AND(NOT(ISERROR(FIND("1/2 Congé + ",D25))),(G25-F25+I25-H25+K25-J25)=0),VLOOKUP(D25,Systeemgegevens!$J:$K,2,FALSE)/2,IF(AND(NOT(ISERROR(FIND("1/2 Congé",D25))),ISERROR(FIND(" + ",D25)),ISERROR(FIND("1/2 Congé Synd.",D25))),VLOOKUP(D25,Systeemgegevens!$J:$K,2,FALSE),0)))</f>
        <v>0</v>
      </c>
      <c r="AD25" s="43">
        <f>IF(AND(OR(D25="1/2 Congé Synd.",D25="Congé Synd."),((G25-F25)+(I25-H25)+(K25-J25)=0)),VLOOKUP(D25,Systeemgegevens!$J:$K,2,FALSE),IF(AND(D25="1/2 Congé + 1/2 synd.",((G25-F25)+(I25-H25)+(K25-J25)=0)),AC25,0))</f>
        <v>0</v>
      </c>
      <c r="AE25" s="43">
        <f>IF(AND(D25="Jour de pont",((G25-F25)+(I25-H25)+(K25-J25)=0)),VLOOKUP(D25,Systeemgegevens!$J:$K,2,FALSE),0)</f>
        <v>0</v>
      </c>
      <c r="AF25" s="43">
        <f>IF(AND(D25="Jour libre 4/5",AND((G25-F25)+(I25-H25)+(K25-J25)=0)),VLOOKUP(D25,Systeemgegevens!$J:$K,2,FALSE),0)</f>
        <v>0</v>
      </c>
      <c r="AG25" s="118">
        <f>IF(AND(D25&lt;&gt;"",SUM(AB25:AF25)=0,D25&lt;&gt;$AB$4,D25&lt;&gt;$AC$4,D25&lt;&gt;$AE$4,D25&lt;&gt;$AF$4),VLOOKUP(D25,Systeemgegevens!$J:$K,2,FALSE),0)</f>
        <v>0</v>
      </c>
      <c r="AH25" s="119">
        <f t="shared" si="6"/>
        <v>0</v>
      </c>
      <c r="AI25" s="101">
        <f t="shared" si="7"/>
        <v>0</v>
      </c>
      <c r="AJ25" s="118">
        <f t="shared" si="19"/>
        <v>0</v>
      </c>
      <c r="AK25" s="119">
        <f t="shared" si="8"/>
        <v>0</v>
      </c>
      <c r="AL25" s="101">
        <f t="shared" si="9"/>
        <v>0</v>
      </c>
      <c r="AM25" s="43">
        <f t="shared" si="20"/>
        <v>0</v>
      </c>
      <c r="AN25" s="118">
        <f t="shared" si="21"/>
        <v>0</v>
      </c>
      <c r="AO25" s="122">
        <f t="shared" si="10"/>
        <v>0</v>
      </c>
      <c r="AP25" s="107">
        <f t="shared" si="11"/>
        <v>0</v>
      </c>
      <c r="AQ25" s="107">
        <f t="shared" si="12"/>
        <v>0</v>
      </c>
      <c r="AR25" s="123">
        <f t="shared" si="13"/>
        <v>0</v>
      </c>
      <c r="AS25" s="124">
        <f t="shared" si="14"/>
        <v>0</v>
      </c>
      <c r="AT25" s="124">
        <f t="shared" si="15"/>
        <v>0</v>
      </c>
      <c r="AU25" s="124">
        <f t="shared" si="16"/>
        <v>0</v>
      </c>
      <c r="AV25" s="117" t="s">
        <v>20</v>
      </c>
      <c r="AW25" s="129">
        <f>IF(($R$41=AV25)*AND($R$42&lt;&gt;""),VLOOKUP($R$42,'Barèmes police'!$BA$4:$BB$34,2),0)</f>
        <v>0</v>
      </c>
      <c r="AX25" s="16" t="str">
        <f>IF('Types de jours'!F31&lt;&gt;"",'Types de jours'!F31,"")</f>
        <v/>
      </c>
      <c r="AY25" s="144" t="str">
        <f>IF(AX25&lt;&gt;"",'Types de jours'!I31,"")</f>
        <v/>
      </c>
      <c r="AZ25" s="269"/>
      <c r="BA25" s="154"/>
      <c r="BB25" s="154"/>
      <c r="BC25" s="154"/>
      <c r="BD25" s="154"/>
      <c r="BE25" s="154"/>
      <c r="BF25" s="154"/>
    </row>
    <row r="26" spans="1:58" ht="12.75" customHeight="1" x14ac:dyDescent="0.2">
      <c r="A26" s="34"/>
      <c r="B26" s="24" t="str">
        <f t="shared" si="0"/>
        <v>Ve</v>
      </c>
      <c r="C26" s="25">
        <f t="shared" si="22"/>
        <v>45492</v>
      </c>
      <c r="D26" s="51"/>
      <c r="E26" s="116"/>
      <c r="F26" s="52"/>
      <c r="G26" s="53"/>
      <c r="H26" s="54"/>
      <c r="I26" s="55"/>
      <c r="J26" s="54"/>
      <c r="K26" s="55"/>
      <c r="L26" s="40">
        <f t="shared" si="1"/>
        <v>0</v>
      </c>
      <c r="M26" s="41">
        <f t="shared" si="23"/>
        <v>0</v>
      </c>
      <c r="N26" s="42">
        <f>IF(AND(D26&lt;&gt;"Jour libre 4/5",B26&lt;&gt;"Sa",B26&lt;&gt;"Di"),SUM(N25,Configuration!$H$41),SUM(N25))</f>
        <v>4.7499999999999982</v>
      </c>
      <c r="O26" s="49" t="str">
        <f t="shared" si="24"/>
        <v>-</v>
      </c>
      <c r="P26" s="143">
        <f t="shared" si="17"/>
        <v>4.7499999999999982</v>
      </c>
      <c r="Q26" s="167">
        <f t="shared" si="18"/>
        <v>0</v>
      </c>
      <c r="R26" s="168">
        <f t="shared" si="18"/>
        <v>0</v>
      </c>
      <c r="S26" s="168">
        <f t="shared" si="18"/>
        <v>0</v>
      </c>
      <c r="T26" s="169">
        <f t="shared" si="18"/>
        <v>0</v>
      </c>
      <c r="U26" s="97">
        <f t="shared" si="2"/>
        <v>0</v>
      </c>
      <c r="V26" s="97">
        <f t="shared" si="3"/>
        <v>0</v>
      </c>
      <c r="W26" s="97">
        <f t="shared" si="4"/>
        <v>0</v>
      </c>
      <c r="X26" s="97">
        <f t="shared" si="5"/>
        <v>0</v>
      </c>
      <c r="Y26" s="209"/>
      <c r="Z26" s="210"/>
      <c r="AA26" s="210"/>
      <c r="AB26" s="128">
        <f>IF(AND(D26="Jour férié semaine",((G26-F26)+(I26-H26)+(K26-J26)=0)),VLOOKUP(D26,Systeemgegevens!$J:$K,2,FALSE),0)</f>
        <v>0</v>
      </c>
      <c r="AC26" s="43">
        <f>IF(AND(NOT(ISERROR(FIND("Congé",D26))),ISERROR(FIND("1/2",D26)),ISERROR(FIND("Synd",D26)),ISERROR(FIND("synd",D26)),(G26-F26+I26-H26+K26-J26)=0),VLOOKUP(D26,Systeemgegevens!$J:$K,2,FALSE),IF(AND(NOT(ISERROR(FIND("1/2 Congé + ",D26))),(G26-F26+I26-H26+K26-J26)=0),VLOOKUP(D26,Systeemgegevens!$J:$K,2,FALSE)/2,IF(AND(NOT(ISERROR(FIND("1/2 Congé",D26))),ISERROR(FIND(" + ",D26)),ISERROR(FIND("1/2 Congé Synd.",D26))),VLOOKUP(D26,Systeemgegevens!$J:$K,2,FALSE),0)))</f>
        <v>0</v>
      </c>
      <c r="AD26" s="43">
        <f>IF(AND(OR(D26="1/2 Congé Synd.",D26="Congé Synd."),((G26-F26)+(I26-H26)+(K26-J26)=0)),VLOOKUP(D26,Systeemgegevens!$J:$K,2,FALSE),IF(AND(D26="1/2 Congé + 1/2 synd.",((G26-F26)+(I26-H26)+(K26-J26)=0)),AC26,0))</f>
        <v>0</v>
      </c>
      <c r="AE26" s="43">
        <f>IF(AND(D26="Jour de pont",((G26-F26)+(I26-H26)+(K26-J26)=0)),VLOOKUP(D26,Systeemgegevens!$J:$K,2,FALSE),0)</f>
        <v>0</v>
      </c>
      <c r="AF26" s="43">
        <f>IF(AND(D26="Jour libre 4/5",AND((G26-F26)+(I26-H26)+(K26-J26)=0)),VLOOKUP(D26,Systeemgegevens!$J:$K,2,FALSE),0)</f>
        <v>0</v>
      </c>
      <c r="AG26" s="118">
        <f>IF(AND(D26&lt;&gt;"",SUM(AB26:AF26)=0,D26&lt;&gt;$AB$4,D26&lt;&gt;$AC$4,D26&lt;&gt;$AE$4,D26&lt;&gt;$AF$4),VLOOKUP(D26,Systeemgegevens!$J:$K,2,FALSE),0)</f>
        <v>0</v>
      </c>
      <c r="AH26" s="119">
        <f t="shared" si="6"/>
        <v>0</v>
      </c>
      <c r="AI26" s="101">
        <f t="shared" si="7"/>
        <v>0</v>
      </c>
      <c r="AJ26" s="118">
        <f t="shared" si="19"/>
        <v>0</v>
      </c>
      <c r="AK26" s="119">
        <f t="shared" si="8"/>
        <v>0</v>
      </c>
      <c r="AL26" s="101">
        <f t="shared" si="9"/>
        <v>0</v>
      </c>
      <c r="AM26" s="43">
        <f t="shared" si="20"/>
        <v>0</v>
      </c>
      <c r="AN26" s="118">
        <f t="shared" si="21"/>
        <v>0</v>
      </c>
      <c r="AO26" s="122">
        <f t="shared" si="10"/>
        <v>0</v>
      </c>
      <c r="AP26" s="107">
        <f t="shared" si="11"/>
        <v>0</v>
      </c>
      <c r="AQ26" s="107">
        <f t="shared" si="12"/>
        <v>0</v>
      </c>
      <c r="AR26" s="123">
        <f t="shared" si="13"/>
        <v>0</v>
      </c>
      <c r="AS26" s="124">
        <f t="shared" si="14"/>
        <v>0</v>
      </c>
      <c r="AT26" s="124">
        <f t="shared" si="15"/>
        <v>0</v>
      </c>
      <c r="AU26" s="124">
        <f t="shared" si="16"/>
        <v>0</v>
      </c>
      <c r="AV26" s="117" t="s">
        <v>19</v>
      </c>
      <c r="AW26" s="129">
        <f>IF(($R$41=AV26)*AND($R$42&lt;&gt;""),VLOOKUP($R$42,'Barèmes police'!$BD$4:$BE$30,2),0)</f>
        <v>0</v>
      </c>
      <c r="AX26" s="16" t="str">
        <f>IF('Types de jours'!F32&lt;&gt;"",'Types de jours'!F32,"")</f>
        <v/>
      </c>
      <c r="AY26" s="144" t="str">
        <f>IF(AX26&lt;&gt;"",'Types de jours'!I32,"")</f>
        <v/>
      </c>
      <c r="AZ26" s="269"/>
      <c r="BA26" s="154"/>
      <c r="BB26" s="154"/>
      <c r="BC26" s="154"/>
      <c r="BD26" s="154"/>
      <c r="BE26" s="154"/>
      <c r="BF26" s="154"/>
    </row>
    <row r="27" spans="1:58" ht="12.75" customHeight="1" x14ac:dyDescent="0.2">
      <c r="A27" s="34"/>
      <c r="B27" s="24" t="str">
        <f t="shared" si="0"/>
        <v>Sa</v>
      </c>
      <c r="C27" s="25">
        <f t="shared" si="22"/>
        <v>45493</v>
      </c>
      <c r="D27" s="51"/>
      <c r="E27" s="116"/>
      <c r="F27" s="52"/>
      <c r="G27" s="53"/>
      <c r="H27" s="54"/>
      <c r="I27" s="55"/>
      <c r="J27" s="54"/>
      <c r="K27" s="55"/>
      <c r="L27" s="40">
        <f t="shared" si="1"/>
        <v>0</v>
      </c>
      <c r="M27" s="41">
        <f t="shared" si="23"/>
        <v>0</v>
      </c>
      <c r="N27" s="42">
        <f>IF(AND(D27&lt;&gt;"Jour libre 4/5",B27&lt;&gt;"Sa",B27&lt;&gt;"Di"),SUM(N26,Configuration!$H$41),SUM(N26))</f>
        <v>4.7499999999999982</v>
      </c>
      <c r="O27" s="49" t="str">
        <f t="shared" si="24"/>
        <v>-</v>
      </c>
      <c r="P27" s="143">
        <f t="shared" si="17"/>
        <v>4.7499999999999982</v>
      </c>
      <c r="Q27" s="167">
        <f t="shared" si="18"/>
        <v>0</v>
      </c>
      <c r="R27" s="168">
        <f t="shared" si="18"/>
        <v>0</v>
      </c>
      <c r="S27" s="168">
        <f t="shared" si="18"/>
        <v>0</v>
      </c>
      <c r="T27" s="169">
        <f t="shared" si="18"/>
        <v>0</v>
      </c>
      <c r="U27" s="97">
        <f t="shared" si="2"/>
        <v>0</v>
      </c>
      <c r="V27" s="97">
        <f t="shared" si="3"/>
        <v>0</v>
      </c>
      <c r="W27" s="97">
        <f t="shared" si="4"/>
        <v>0</v>
      </c>
      <c r="X27" s="97">
        <f t="shared" si="5"/>
        <v>0</v>
      </c>
      <c r="Y27" s="209"/>
      <c r="Z27" s="210"/>
      <c r="AA27" s="210"/>
      <c r="AB27" s="128">
        <f>IF(AND(D27="Jour férié semaine",((G27-F27)+(I27-H27)+(K27-J27)=0)),VLOOKUP(D27,Systeemgegevens!$J:$K,2,FALSE),0)</f>
        <v>0</v>
      </c>
      <c r="AC27" s="43">
        <f>IF(AND(NOT(ISERROR(FIND("Congé",D27))),ISERROR(FIND("1/2",D27)),ISERROR(FIND("Synd",D27)),ISERROR(FIND("synd",D27)),(G27-F27+I27-H27+K27-J27)=0),VLOOKUP(D27,Systeemgegevens!$J:$K,2,FALSE),IF(AND(NOT(ISERROR(FIND("1/2 Congé + ",D27))),(G27-F27+I27-H27+K27-J27)=0),VLOOKUP(D27,Systeemgegevens!$J:$K,2,FALSE)/2,IF(AND(NOT(ISERROR(FIND("1/2 Congé",D27))),ISERROR(FIND(" + ",D27)),ISERROR(FIND("1/2 Congé Synd.",D27))),VLOOKUP(D27,Systeemgegevens!$J:$K,2,FALSE),0)))</f>
        <v>0</v>
      </c>
      <c r="AD27" s="43">
        <f>IF(AND(OR(D27="1/2 Congé Synd.",D27="Congé Synd."),((G27-F27)+(I27-H27)+(K27-J27)=0)),VLOOKUP(D27,Systeemgegevens!$J:$K,2,FALSE),IF(AND(D27="1/2 Congé + 1/2 synd.",((G27-F27)+(I27-H27)+(K27-J27)=0)),AC27,0))</f>
        <v>0</v>
      </c>
      <c r="AE27" s="43">
        <f>IF(AND(D27="Jour de pont",((G27-F27)+(I27-H27)+(K27-J27)=0)),VLOOKUP(D27,Systeemgegevens!$J:$K,2,FALSE),0)</f>
        <v>0</v>
      </c>
      <c r="AF27" s="43">
        <f>IF(AND(D27="Jour libre 4/5",AND((G27-F27)+(I27-H27)+(K27-J27)=0)),VLOOKUP(D27,Systeemgegevens!$J:$K,2,FALSE),0)</f>
        <v>0</v>
      </c>
      <c r="AG27" s="118">
        <f>IF(AND(D27&lt;&gt;"",SUM(AB27:AF27)=0,D27&lt;&gt;$AB$4,D27&lt;&gt;$AC$4,D27&lt;&gt;$AE$4,D27&lt;&gt;$AF$4),VLOOKUP(D27,Systeemgegevens!$J:$K,2,FALSE),0)</f>
        <v>0</v>
      </c>
      <c r="AH27" s="119">
        <f t="shared" si="6"/>
        <v>0</v>
      </c>
      <c r="AI27" s="101">
        <f t="shared" si="7"/>
        <v>0</v>
      </c>
      <c r="AJ27" s="118">
        <f t="shared" si="19"/>
        <v>0</v>
      </c>
      <c r="AK27" s="119">
        <f t="shared" si="8"/>
        <v>0</v>
      </c>
      <c r="AL27" s="101">
        <f t="shared" si="9"/>
        <v>0</v>
      </c>
      <c r="AM27" s="43">
        <f t="shared" si="20"/>
        <v>0</v>
      </c>
      <c r="AN27" s="118">
        <f t="shared" si="21"/>
        <v>0</v>
      </c>
      <c r="AO27" s="122">
        <f t="shared" si="10"/>
        <v>0</v>
      </c>
      <c r="AP27" s="107">
        <f t="shared" si="11"/>
        <v>0</v>
      </c>
      <c r="AQ27" s="107">
        <f t="shared" si="12"/>
        <v>0</v>
      </c>
      <c r="AR27" s="123">
        <f t="shared" si="13"/>
        <v>0</v>
      </c>
      <c r="AS27" s="124">
        <f t="shared" si="14"/>
        <v>0</v>
      </c>
      <c r="AT27" s="124">
        <f t="shared" si="15"/>
        <v>0</v>
      </c>
      <c r="AU27" s="124">
        <f t="shared" si="16"/>
        <v>0</v>
      </c>
      <c r="AV27" s="117" t="s">
        <v>18</v>
      </c>
      <c r="AW27" s="129">
        <f>IF(($R$41=AV27)*AND($R$42&lt;&gt;""),VLOOKUP($R$42,'Barèmes police'!$BG$4:$BH$30,2),0)</f>
        <v>0</v>
      </c>
      <c r="AX27" s="16" t="str">
        <f>IF('Types de jours'!F33&lt;&gt;"",'Types de jours'!F33,"")</f>
        <v/>
      </c>
      <c r="AY27" s="144" t="str">
        <f>IF(AX27&lt;&gt;"",'Types de jours'!I33,"")</f>
        <v/>
      </c>
      <c r="AZ27" s="269"/>
      <c r="BA27" s="154"/>
      <c r="BB27" s="154"/>
      <c r="BC27" s="154"/>
      <c r="BD27" s="154"/>
      <c r="BE27" s="154"/>
      <c r="BF27" s="154"/>
    </row>
    <row r="28" spans="1:58" ht="12.75" customHeight="1" x14ac:dyDescent="0.2">
      <c r="A28" s="34"/>
      <c r="B28" s="24" t="str">
        <f t="shared" si="0"/>
        <v>Di</v>
      </c>
      <c r="C28" s="25">
        <f t="shared" si="22"/>
        <v>45494</v>
      </c>
      <c r="D28" s="51"/>
      <c r="E28" s="116"/>
      <c r="F28" s="52"/>
      <c r="G28" s="53"/>
      <c r="H28" s="54"/>
      <c r="I28" s="55"/>
      <c r="J28" s="54"/>
      <c r="K28" s="55"/>
      <c r="L28" s="40">
        <f t="shared" si="1"/>
        <v>0</v>
      </c>
      <c r="M28" s="41">
        <f t="shared" si="23"/>
        <v>0</v>
      </c>
      <c r="N28" s="42">
        <f>IF(AND(D28&lt;&gt;"Jour libre 4/5",B28&lt;&gt;"Sa",B28&lt;&gt;"Di"),SUM(N27,Configuration!$H$41),SUM(N27))</f>
        <v>4.7499999999999982</v>
      </c>
      <c r="O28" s="49" t="str">
        <f t="shared" si="24"/>
        <v>-</v>
      </c>
      <c r="P28" s="143">
        <f t="shared" si="17"/>
        <v>4.7499999999999982</v>
      </c>
      <c r="Q28" s="167">
        <f t="shared" si="18"/>
        <v>0</v>
      </c>
      <c r="R28" s="168">
        <f t="shared" si="18"/>
        <v>0</v>
      </c>
      <c r="S28" s="168">
        <f t="shared" si="18"/>
        <v>0</v>
      </c>
      <c r="T28" s="169">
        <f t="shared" si="18"/>
        <v>0</v>
      </c>
      <c r="U28" s="97">
        <f t="shared" si="2"/>
        <v>0</v>
      </c>
      <c r="V28" s="97">
        <f t="shared" si="3"/>
        <v>0</v>
      </c>
      <c r="W28" s="97">
        <f t="shared" si="4"/>
        <v>0</v>
      </c>
      <c r="X28" s="97">
        <f t="shared" si="5"/>
        <v>0</v>
      </c>
      <c r="Y28" s="209"/>
      <c r="Z28" s="210"/>
      <c r="AA28" s="210"/>
      <c r="AB28" s="128">
        <f>IF(AND(D28="Jour férié semaine",((G28-F28)+(I28-H28)+(K28-J28)=0)),VLOOKUP(D28,Systeemgegevens!$J:$K,2,FALSE),0)</f>
        <v>0</v>
      </c>
      <c r="AC28" s="43">
        <f>IF(AND(NOT(ISERROR(FIND("Congé",D28))),ISERROR(FIND("1/2",D28)),ISERROR(FIND("Synd",D28)),ISERROR(FIND("synd",D28)),(G28-F28+I28-H28+K28-J28)=0),VLOOKUP(D28,Systeemgegevens!$J:$K,2,FALSE),IF(AND(NOT(ISERROR(FIND("1/2 Congé + ",D28))),(G28-F28+I28-H28+K28-J28)=0),VLOOKUP(D28,Systeemgegevens!$J:$K,2,FALSE)/2,IF(AND(NOT(ISERROR(FIND("1/2 Congé",D28))),ISERROR(FIND(" + ",D28)),ISERROR(FIND("1/2 Congé Synd.",D28))),VLOOKUP(D28,Systeemgegevens!$J:$K,2,FALSE),0)))</f>
        <v>0</v>
      </c>
      <c r="AD28" s="43">
        <f>IF(AND(OR(D28="1/2 Congé Synd.",D28="Congé Synd."),((G28-F28)+(I28-H28)+(K28-J28)=0)),VLOOKUP(D28,Systeemgegevens!$J:$K,2,FALSE),IF(AND(D28="1/2 Congé + 1/2 synd.",((G28-F28)+(I28-H28)+(K28-J28)=0)),AC28,0))</f>
        <v>0</v>
      </c>
      <c r="AE28" s="43">
        <f>IF(AND(D28="Jour de pont",((G28-F28)+(I28-H28)+(K28-J28)=0)),VLOOKUP(D28,Systeemgegevens!$J:$K,2,FALSE),0)</f>
        <v>0</v>
      </c>
      <c r="AF28" s="43">
        <f>IF(AND(D28="Jour libre 4/5",AND((G28-F28)+(I28-H28)+(K28-J28)=0)),VLOOKUP(D28,Systeemgegevens!$J:$K,2,FALSE),0)</f>
        <v>0</v>
      </c>
      <c r="AG28" s="118">
        <f>IF(AND(D28&lt;&gt;"",SUM(AB28:AF28)=0,D28&lt;&gt;$AB$4,D28&lt;&gt;$AC$4,D28&lt;&gt;$AE$4,D28&lt;&gt;$AF$4),VLOOKUP(D28,Systeemgegevens!$J:$K,2,FALSE),0)</f>
        <v>0</v>
      </c>
      <c r="AH28" s="119">
        <f t="shared" si="6"/>
        <v>0</v>
      </c>
      <c r="AI28" s="101">
        <f t="shared" si="7"/>
        <v>0</v>
      </c>
      <c r="AJ28" s="118">
        <f t="shared" si="19"/>
        <v>0</v>
      </c>
      <c r="AK28" s="119">
        <f t="shared" si="8"/>
        <v>0</v>
      </c>
      <c r="AL28" s="101">
        <f t="shared" si="9"/>
        <v>0</v>
      </c>
      <c r="AM28" s="43">
        <f t="shared" si="20"/>
        <v>0</v>
      </c>
      <c r="AN28" s="118">
        <f t="shared" si="21"/>
        <v>0</v>
      </c>
      <c r="AO28" s="122">
        <f t="shared" si="10"/>
        <v>0</v>
      </c>
      <c r="AP28" s="107">
        <f t="shared" si="11"/>
        <v>0</v>
      </c>
      <c r="AQ28" s="107">
        <f t="shared" si="12"/>
        <v>0</v>
      </c>
      <c r="AR28" s="123">
        <f t="shared" si="13"/>
        <v>0</v>
      </c>
      <c r="AS28" s="124">
        <f t="shared" si="14"/>
        <v>0</v>
      </c>
      <c r="AT28" s="124">
        <f t="shared" si="15"/>
        <v>0</v>
      </c>
      <c r="AU28" s="124">
        <f t="shared" si="16"/>
        <v>0</v>
      </c>
      <c r="AV28" s="117" t="s">
        <v>17</v>
      </c>
      <c r="AW28" s="129">
        <f>IF(($R$41=AV28)*AND($R$42&lt;&gt;""),VLOOKUP($R$42,'Barèmes police'!$BJ$4:$BK$30,2),0)</f>
        <v>0</v>
      </c>
      <c r="AX28" s="16" t="str">
        <f>IF('Types de jours'!F34&lt;&gt;"",'Types de jours'!F34,"")</f>
        <v/>
      </c>
      <c r="AY28" s="144" t="str">
        <f>IF(AX28&lt;&gt;"",'Types de jours'!I34,"")</f>
        <v/>
      </c>
      <c r="AZ28" s="269"/>
      <c r="BA28" s="154"/>
      <c r="BB28" s="154"/>
      <c r="BC28" s="154"/>
      <c r="BD28" s="154"/>
      <c r="BE28" s="154"/>
      <c r="BF28" s="154"/>
    </row>
    <row r="29" spans="1:58" ht="12.75" customHeight="1" x14ac:dyDescent="0.2">
      <c r="A29" s="34"/>
      <c r="B29" s="24" t="str">
        <f t="shared" si="0"/>
        <v>Lu</v>
      </c>
      <c r="C29" s="25">
        <f t="shared" si="22"/>
        <v>45495</v>
      </c>
      <c r="D29" s="51"/>
      <c r="E29" s="116"/>
      <c r="F29" s="52"/>
      <c r="G29" s="53"/>
      <c r="H29" s="54"/>
      <c r="I29" s="55"/>
      <c r="J29" s="54"/>
      <c r="K29" s="55"/>
      <c r="L29" s="40">
        <f t="shared" si="1"/>
        <v>0</v>
      </c>
      <c r="M29" s="41">
        <f t="shared" si="23"/>
        <v>0</v>
      </c>
      <c r="N29" s="42">
        <f>IF(AND(D29&lt;&gt;"Jour libre 4/5",B29&lt;&gt;"Sa",B29&lt;&gt;"Di"),SUM(N28,Configuration!$H$41),SUM(N28))</f>
        <v>5.0666666666666647</v>
      </c>
      <c r="O29" s="49" t="str">
        <f t="shared" si="24"/>
        <v>-</v>
      </c>
      <c r="P29" s="143">
        <f t="shared" si="17"/>
        <v>5.0666666666666647</v>
      </c>
      <c r="Q29" s="167">
        <f t="shared" si="18"/>
        <v>0</v>
      </c>
      <c r="R29" s="168">
        <f t="shared" si="18"/>
        <v>0</v>
      </c>
      <c r="S29" s="168">
        <f t="shared" si="18"/>
        <v>0</v>
      </c>
      <c r="T29" s="169">
        <f t="shared" si="18"/>
        <v>0</v>
      </c>
      <c r="U29" s="97">
        <f t="shared" si="2"/>
        <v>0</v>
      </c>
      <c r="V29" s="97">
        <f t="shared" si="3"/>
        <v>0</v>
      </c>
      <c r="W29" s="97">
        <f t="shared" si="4"/>
        <v>0</v>
      </c>
      <c r="X29" s="97">
        <f t="shared" si="5"/>
        <v>0</v>
      </c>
      <c r="Y29" s="209"/>
      <c r="Z29" s="210"/>
      <c r="AA29" s="210"/>
      <c r="AB29" s="128">
        <f>IF(AND(D29="Jour férié semaine",((G29-F29)+(I29-H29)+(K29-J29)=0)),VLOOKUP(D29,Systeemgegevens!$J:$K,2,FALSE),0)</f>
        <v>0</v>
      </c>
      <c r="AC29" s="43">
        <f>IF(AND(NOT(ISERROR(FIND("Congé",D29))),ISERROR(FIND("1/2",D29)),ISERROR(FIND("Synd",D29)),ISERROR(FIND("synd",D29)),(G29-F29+I29-H29+K29-J29)=0),VLOOKUP(D29,Systeemgegevens!$J:$K,2,FALSE),IF(AND(NOT(ISERROR(FIND("1/2 Congé + ",D29))),(G29-F29+I29-H29+K29-J29)=0),VLOOKUP(D29,Systeemgegevens!$J:$K,2,FALSE)/2,IF(AND(NOT(ISERROR(FIND("1/2 Congé",D29))),ISERROR(FIND(" + ",D29)),ISERROR(FIND("1/2 Congé Synd.",D29))),VLOOKUP(D29,Systeemgegevens!$J:$K,2,FALSE),0)))</f>
        <v>0</v>
      </c>
      <c r="AD29" s="43">
        <f>IF(AND(OR(D29="1/2 Congé Synd.",D29="Congé Synd."),((G29-F29)+(I29-H29)+(K29-J29)=0)),VLOOKUP(D29,Systeemgegevens!$J:$K,2,FALSE),IF(AND(D29="1/2 Congé + 1/2 synd.",((G29-F29)+(I29-H29)+(K29-J29)=0)),AC29,0))</f>
        <v>0</v>
      </c>
      <c r="AE29" s="43">
        <f>IF(AND(D29="Jour de pont",((G29-F29)+(I29-H29)+(K29-J29)=0)),VLOOKUP(D29,Systeemgegevens!$J:$K,2,FALSE),0)</f>
        <v>0</v>
      </c>
      <c r="AF29" s="43">
        <f>IF(AND(D29="Jour libre 4/5",AND((G29-F29)+(I29-H29)+(K29-J29)=0)),VLOOKUP(D29,Systeemgegevens!$J:$K,2,FALSE),0)</f>
        <v>0</v>
      </c>
      <c r="AG29" s="118">
        <f>IF(AND(D29&lt;&gt;"",SUM(AB29:AF29)=0,D29&lt;&gt;$AB$4,D29&lt;&gt;$AC$4,D29&lt;&gt;$AE$4,D29&lt;&gt;$AF$4),VLOOKUP(D29,Systeemgegevens!$J:$K,2,FALSE),0)</f>
        <v>0</v>
      </c>
      <c r="AH29" s="119">
        <f t="shared" si="6"/>
        <v>0</v>
      </c>
      <c r="AI29" s="101">
        <f t="shared" si="7"/>
        <v>0</v>
      </c>
      <c r="AJ29" s="118">
        <f t="shared" si="19"/>
        <v>0</v>
      </c>
      <c r="AK29" s="119">
        <f t="shared" si="8"/>
        <v>0</v>
      </c>
      <c r="AL29" s="101">
        <f t="shared" si="9"/>
        <v>0</v>
      </c>
      <c r="AM29" s="43">
        <f t="shared" si="20"/>
        <v>0</v>
      </c>
      <c r="AN29" s="118">
        <f t="shared" si="21"/>
        <v>0</v>
      </c>
      <c r="AO29" s="122">
        <f t="shared" si="10"/>
        <v>0</v>
      </c>
      <c r="AP29" s="107">
        <f t="shared" si="11"/>
        <v>0</v>
      </c>
      <c r="AQ29" s="107">
        <f t="shared" si="12"/>
        <v>0</v>
      </c>
      <c r="AR29" s="123">
        <f t="shared" si="13"/>
        <v>0</v>
      </c>
      <c r="AS29" s="124">
        <f t="shared" si="14"/>
        <v>0</v>
      </c>
      <c r="AT29" s="124">
        <f t="shared" si="15"/>
        <v>0</v>
      </c>
      <c r="AU29" s="124">
        <f t="shared" si="16"/>
        <v>0</v>
      </c>
      <c r="AV29" s="117" t="s">
        <v>16</v>
      </c>
      <c r="AW29" s="129">
        <f>IF(($R$41=AV29)*AND($R$42&lt;&gt;""),VLOOKUP($R$42,'Barèmes police'!$BM$4:$BN$30,2),0)</f>
        <v>0</v>
      </c>
      <c r="AX29" s="145" t="str">
        <f>IF('Types de jours'!F35&lt;&gt;"",'Types de jours'!F35,"")</f>
        <v/>
      </c>
      <c r="AY29" s="146" t="str">
        <f>IF(AX29&lt;&gt;"",'Types de jours'!I35,"")</f>
        <v/>
      </c>
      <c r="AZ29" s="269"/>
      <c r="BA29" s="154"/>
      <c r="BB29" s="154"/>
      <c r="BC29" s="154"/>
      <c r="BD29" s="154"/>
      <c r="BE29" s="154"/>
      <c r="BF29" s="154"/>
    </row>
    <row r="30" spans="1:58" ht="12.75" customHeight="1" x14ac:dyDescent="0.2">
      <c r="A30" s="34"/>
      <c r="B30" s="24" t="str">
        <f t="shared" si="0"/>
        <v>Ma</v>
      </c>
      <c r="C30" s="25">
        <f t="shared" si="22"/>
        <v>45496</v>
      </c>
      <c r="D30" s="51"/>
      <c r="E30" s="116"/>
      <c r="F30" s="52"/>
      <c r="G30" s="53"/>
      <c r="H30" s="54"/>
      <c r="I30" s="55"/>
      <c r="J30" s="54"/>
      <c r="K30" s="55"/>
      <c r="L30" s="40">
        <f t="shared" si="1"/>
        <v>0</v>
      </c>
      <c r="M30" s="41">
        <f t="shared" si="23"/>
        <v>0</v>
      </c>
      <c r="N30" s="42">
        <f>IF(AND(D30&lt;&gt;"Jour libre 4/5",B30&lt;&gt;"Sa",B30&lt;&gt;"Di"),SUM(N29,Configuration!$H$41),SUM(N29))</f>
        <v>5.3833333333333311</v>
      </c>
      <c r="O30" s="49" t="str">
        <f t="shared" si="24"/>
        <v>-</v>
      </c>
      <c r="P30" s="143">
        <f t="shared" si="17"/>
        <v>5.3833333333333311</v>
      </c>
      <c r="Q30" s="167">
        <f t="shared" si="18"/>
        <v>0</v>
      </c>
      <c r="R30" s="168">
        <f t="shared" si="18"/>
        <v>0</v>
      </c>
      <c r="S30" s="168">
        <f t="shared" si="18"/>
        <v>0</v>
      </c>
      <c r="T30" s="169">
        <f t="shared" si="18"/>
        <v>0</v>
      </c>
      <c r="U30" s="97">
        <f t="shared" si="2"/>
        <v>0</v>
      </c>
      <c r="V30" s="97">
        <f t="shared" si="3"/>
        <v>0</v>
      </c>
      <c r="W30" s="97">
        <f t="shared" si="4"/>
        <v>0</v>
      </c>
      <c r="X30" s="97">
        <f t="shared" si="5"/>
        <v>0</v>
      </c>
      <c r="Y30" s="209"/>
      <c r="Z30" s="210"/>
      <c r="AA30" s="210"/>
      <c r="AB30" s="128">
        <f>IF(AND(D30="Jour férié semaine",((G30-F30)+(I30-H30)+(K30-J30)=0)),VLOOKUP(D30,Systeemgegevens!$J:$K,2,FALSE),0)</f>
        <v>0</v>
      </c>
      <c r="AC30" s="43">
        <f>IF(AND(NOT(ISERROR(FIND("Congé",D30))),ISERROR(FIND("1/2",D30)),ISERROR(FIND("Synd",D30)),ISERROR(FIND("synd",D30)),(G30-F30+I30-H30+K30-J30)=0),VLOOKUP(D30,Systeemgegevens!$J:$K,2,FALSE),IF(AND(NOT(ISERROR(FIND("1/2 Congé + ",D30))),(G30-F30+I30-H30+K30-J30)=0),VLOOKUP(D30,Systeemgegevens!$J:$K,2,FALSE)/2,IF(AND(NOT(ISERROR(FIND("1/2 Congé",D30))),ISERROR(FIND(" + ",D30)),ISERROR(FIND("1/2 Congé Synd.",D30))),VLOOKUP(D30,Systeemgegevens!$J:$K,2,FALSE),0)))</f>
        <v>0</v>
      </c>
      <c r="AD30" s="43">
        <f>IF(AND(OR(D30="1/2 Congé Synd.",D30="Congé Synd."),((G30-F30)+(I30-H30)+(K30-J30)=0)),VLOOKUP(D30,Systeemgegevens!$J:$K,2,FALSE),IF(AND(D30="1/2 Congé + 1/2 synd.",((G30-F30)+(I30-H30)+(K30-J30)=0)),AC30,0))</f>
        <v>0</v>
      </c>
      <c r="AE30" s="43">
        <f>IF(AND(D30="Jour de pont",((G30-F30)+(I30-H30)+(K30-J30)=0)),VLOOKUP(D30,Systeemgegevens!$J:$K,2,FALSE),0)</f>
        <v>0</v>
      </c>
      <c r="AF30" s="43">
        <f>IF(AND(D30="Jour libre 4/5",AND((G30-F30)+(I30-H30)+(K30-J30)=0)),VLOOKUP(D30,Systeemgegevens!$J:$K,2,FALSE),0)</f>
        <v>0</v>
      </c>
      <c r="AG30" s="118">
        <f>IF(AND(D30&lt;&gt;"",SUM(AB30:AF30)=0,D30&lt;&gt;$AB$4,D30&lt;&gt;$AC$4,D30&lt;&gt;$AE$4,D30&lt;&gt;$AF$4),VLOOKUP(D30,Systeemgegevens!$J:$K,2,FALSE),0)</f>
        <v>0</v>
      </c>
      <c r="AH30" s="119">
        <f t="shared" si="6"/>
        <v>0</v>
      </c>
      <c r="AI30" s="101">
        <f t="shared" si="7"/>
        <v>0</v>
      </c>
      <c r="AJ30" s="118">
        <f t="shared" si="19"/>
        <v>0</v>
      </c>
      <c r="AK30" s="119">
        <f t="shared" si="8"/>
        <v>0</v>
      </c>
      <c r="AL30" s="101">
        <f t="shared" si="9"/>
        <v>0</v>
      </c>
      <c r="AM30" s="43">
        <f t="shared" si="20"/>
        <v>0</v>
      </c>
      <c r="AN30" s="118">
        <f t="shared" si="21"/>
        <v>0</v>
      </c>
      <c r="AO30" s="122">
        <f t="shared" si="10"/>
        <v>0</v>
      </c>
      <c r="AP30" s="107">
        <f t="shared" si="11"/>
        <v>0</v>
      </c>
      <c r="AQ30" s="107">
        <f t="shared" si="12"/>
        <v>0</v>
      </c>
      <c r="AR30" s="123">
        <f t="shared" si="13"/>
        <v>0</v>
      </c>
      <c r="AS30" s="124">
        <f t="shared" si="14"/>
        <v>0</v>
      </c>
      <c r="AT30" s="124">
        <f t="shared" si="15"/>
        <v>0</v>
      </c>
      <c r="AU30" s="124">
        <f t="shared" si="16"/>
        <v>0</v>
      </c>
      <c r="AV30" s="117" t="s">
        <v>14</v>
      </c>
      <c r="AW30" s="129">
        <f>IF(($R$41=AV30)*AND($R$42&lt;&gt;""),VLOOKUP($R$42,'Barèmes police'!$B$40:$C$66,2),0)</f>
        <v>0</v>
      </c>
      <c r="AX30" s="129"/>
      <c r="AY30" s="129"/>
      <c r="AZ30" s="154"/>
      <c r="BA30" s="154"/>
      <c r="BB30" s="154"/>
      <c r="BC30" s="154"/>
      <c r="BD30" s="154"/>
      <c r="BE30" s="154"/>
      <c r="BF30" s="154"/>
    </row>
    <row r="31" spans="1:58" ht="12.75" customHeight="1" x14ac:dyDescent="0.2">
      <c r="A31" s="34"/>
      <c r="B31" s="24" t="str">
        <f t="shared" si="0"/>
        <v>Me</v>
      </c>
      <c r="C31" s="25">
        <f t="shared" si="22"/>
        <v>45497</v>
      </c>
      <c r="D31" s="51"/>
      <c r="E31" s="116"/>
      <c r="F31" s="52"/>
      <c r="G31" s="53"/>
      <c r="H31" s="52"/>
      <c r="I31" s="53"/>
      <c r="J31" s="54"/>
      <c r="K31" s="55"/>
      <c r="L31" s="40">
        <f t="shared" si="1"/>
        <v>0</v>
      </c>
      <c r="M31" s="41">
        <f t="shared" si="23"/>
        <v>0</v>
      </c>
      <c r="N31" s="42">
        <f>IF(AND(D31&lt;&gt;"Jour libre 4/5",B31&lt;&gt;"Sa",B31&lt;&gt;"Di"),SUM(N30,Configuration!$H$41),SUM(N30))</f>
        <v>5.6999999999999975</v>
      </c>
      <c r="O31" s="49" t="str">
        <f t="shared" si="24"/>
        <v>-</v>
      </c>
      <c r="P31" s="143">
        <f t="shared" si="17"/>
        <v>5.6999999999999975</v>
      </c>
      <c r="Q31" s="167">
        <f t="shared" si="18"/>
        <v>0</v>
      </c>
      <c r="R31" s="168">
        <f t="shared" si="18"/>
        <v>0</v>
      </c>
      <c r="S31" s="168">
        <f t="shared" si="18"/>
        <v>0</v>
      </c>
      <c r="T31" s="169">
        <f t="shared" si="18"/>
        <v>0</v>
      </c>
      <c r="U31" s="97">
        <f t="shared" si="2"/>
        <v>0</v>
      </c>
      <c r="V31" s="97">
        <f t="shared" si="3"/>
        <v>0</v>
      </c>
      <c r="W31" s="97">
        <f t="shared" si="4"/>
        <v>0</v>
      </c>
      <c r="X31" s="97">
        <f t="shared" si="5"/>
        <v>0</v>
      </c>
      <c r="Y31" s="209"/>
      <c r="Z31" s="210"/>
      <c r="AA31" s="210"/>
      <c r="AB31" s="128">
        <f>IF(AND(D31="Jour férié semaine",((G31-F31)+(I31-H31)+(K31-J31)=0)),VLOOKUP(D31,Systeemgegevens!$J:$K,2,FALSE),0)</f>
        <v>0</v>
      </c>
      <c r="AC31" s="43">
        <f>IF(AND(NOT(ISERROR(FIND("Congé",D31))),ISERROR(FIND("1/2",D31)),ISERROR(FIND("Synd",D31)),ISERROR(FIND("synd",D31)),(G31-F31+I31-H31+K31-J31)=0),VLOOKUP(D31,Systeemgegevens!$J:$K,2,FALSE),IF(AND(NOT(ISERROR(FIND("1/2 Congé + ",D31))),(G31-F31+I31-H31+K31-J31)=0),VLOOKUP(D31,Systeemgegevens!$J:$K,2,FALSE)/2,IF(AND(NOT(ISERROR(FIND("1/2 Congé",D31))),ISERROR(FIND(" + ",D31)),ISERROR(FIND("1/2 Congé Synd.",D31))),VLOOKUP(D31,Systeemgegevens!$J:$K,2,FALSE),0)))</f>
        <v>0</v>
      </c>
      <c r="AD31" s="43">
        <f>IF(AND(OR(D31="1/2 Congé Synd.",D31="Congé Synd."),((G31-F31)+(I31-H31)+(K31-J31)=0)),VLOOKUP(D31,Systeemgegevens!$J:$K,2,FALSE),IF(AND(D31="1/2 Congé + 1/2 synd.",((G31-F31)+(I31-H31)+(K31-J31)=0)),AC31,0))</f>
        <v>0</v>
      </c>
      <c r="AE31" s="43">
        <f>IF(AND(D31="Jour de pont",((G31-F31)+(I31-H31)+(K31-J31)=0)),VLOOKUP(D31,Systeemgegevens!$J:$K,2,FALSE),0)</f>
        <v>0</v>
      </c>
      <c r="AF31" s="43">
        <f>IF(AND(D31="Jour libre 4/5",AND((G31-F31)+(I31-H31)+(K31-J31)=0)),VLOOKUP(D31,Systeemgegevens!$J:$K,2,FALSE),0)</f>
        <v>0</v>
      </c>
      <c r="AG31" s="118">
        <f>IF(AND(D31&lt;&gt;"",SUM(AB31:AF31)=0,D31&lt;&gt;$AB$4,D31&lt;&gt;$AC$4,D31&lt;&gt;$AE$4,D31&lt;&gt;$AF$4),VLOOKUP(D31,Systeemgegevens!$J:$K,2,FALSE),0)</f>
        <v>0</v>
      </c>
      <c r="AH31" s="119">
        <f t="shared" si="6"/>
        <v>0</v>
      </c>
      <c r="AI31" s="101">
        <f t="shared" si="7"/>
        <v>0</v>
      </c>
      <c r="AJ31" s="118">
        <f t="shared" si="19"/>
        <v>0</v>
      </c>
      <c r="AK31" s="119">
        <f t="shared" si="8"/>
        <v>0</v>
      </c>
      <c r="AL31" s="101">
        <f t="shared" si="9"/>
        <v>0</v>
      </c>
      <c r="AM31" s="43">
        <f t="shared" si="20"/>
        <v>0</v>
      </c>
      <c r="AN31" s="118">
        <f t="shared" si="21"/>
        <v>0</v>
      </c>
      <c r="AO31" s="122">
        <f t="shared" si="10"/>
        <v>0</v>
      </c>
      <c r="AP31" s="107">
        <f t="shared" si="11"/>
        <v>0</v>
      </c>
      <c r="AQ31" s="107">
        <f t="shared" si="12"/>
        <v>0</v>
      </c>
      <c r="AR31" s="123">
        <f t="shared" si="13"/>
        <v>0</v>
      </c>
      <c r="AS31" s="124">
        <f t="shared" si="14"/>
        <v>0</v>
      </c>
      <c r="AT31" s="124">
        <f t="shared" si="15"/>
        <v>0</v>
      </c>
      <c r="AU31" s="124">
        <f t="shared" si="16"/>
        <v>0</v>
      </c>
      <c r="AV31" s="117" t="s">
        <v>13</v>
      </c>
      <c r="AW31" s="129">
        <f>IF(($R$41=AV31)*AND($R$42&lt;&gt;""),VLOOKUP($R$42,'Barèmes police'!$E$40:$F$66,2),0)</f>
        <v>0</v>
      </c>
      <c r="AX31" s="129"/>
      <c r="AY31" s="129"/>
      <c r="AZ31" s="154"/>
      <c r="BA31" s="154"/>
      <c r="BB31" s="154"/>
      <c r="BC31" s="154"/>
      <c r="BD31" s="154"/>
      <c r="BE31" s="154"/>
      <c r="BF31" s="154"/>
    </row>
    <row r="32" spans="1:58" ht="12.75" customHeight="1" x14ac:dyDescent="0.2">
      <c r="A32" s="34"/>
      <c r="B32" s="24" t="str">
        <f t="shared" si="0"/>
        <v>Je</v>
      </c>
      <c r="C32" s="25">
        <f t="shared" si="22"/>
        <v>45498</v>
      </c>
      <c r="D32" s="51"/>
      <c r="E32" s="116"/>
      <c r="F32" s="52"/>
      <c r="G32" s="53"/>
      <c r="H32" s="52"/>
      <c r="I32" s="53"/>
      <c r="J32" s="54"/>
      <c r="K32" s="55"/>
      <c r="L32" s="40">
        <f t="shared" si="1"/>
        <v>0</v>
      </c>
      <c r="M32" s="41">
        <f t="shared" si="23"/>
        <v>0</v>
      </c>
      <c r="N32" s="42">
        <f>IF(AND(D32&lt;&gt;"Jour libre 4/5",B32&lt;&gt;"Sa",B32&lt;&gt;"Di"),SUM(N31,Configuration!$H$41),SUM(N31))</f>
        <v>6.0166666666666639</v>
      </c>
      <c r="O32" s="49" t="str">
        <f t="shared" si="24"/>
        <v>-</v>
      </c>
      <c r="P32" s="143">
        <f t="shared" si="17"/>
        <v>6.0166666666666639</v>
      </c>
      <c r="Q32" s="167">
        <f t="shared" si="18"/>
        <v>0</v>
      </c>
      <c r="R32" s="168">
        <f t="shared" si="18"/>
        <v>0</v>
      </c>
      <c r="S32" s="168">
        <f t="shared" si="18"/>
        <v>0</v>
      </c>
      <c r="T32" s="169">
        <f t="shared" si="18"/>
        <v>0</v>
      </c>
      <c r="U32" s="97">
        <f t="shared" si="2"/>
        <v>0</v>
      </c>
      <c r="V32" s="97">
        <f t="shared" si="3"/>
        <v>0</v>
      </c>
      <c r="W32" s="97">
        <f t="shared" si="4"/>
        <v>0</v>
      </c>
      <c r="X32" s="97">
        <f t="shared" si="5"/>
        <v>0</v>
      </c>
      <c r="Y32" s="209"/>
      <c r="Z32" s="210"/>
      <c r="AA32" s="210"/>
      <c r="AB32" s="128">
        <f>IF(AND(D32="Jour férié semaine",((G32-F32)+(I32-H32)+(K32-J32)=0)),VLOOKUP(D32,Systeemgegevens!$J:$K,2,FALSE),0)</f>
        <v>0</v>
      </c>
      <c r="AC32" s="43">
        <f>IF(AND(NOT(ISERROR(FIND("Congé",D32))),ISERROR(FIND("1/2",D32)),ISERROR(FIND("Synd",D32)),ISERROR(FIND("synd",D32)),(G32-F32+I32-H32+K32-J32)=0),VLOOKUP(D32,Systeemgegevens!$J:$K,2,FALSE),IF(AND(NOT(ISERROR(FIND("1/2 Congé + ",D32))),(G32-F32+I32-H32+K32-J32)=0),VLOOKUP(D32,Systeemgegevens!$J:$K,2,FALSE)/2,IF(AND(NOT(ISERROR(FIND("1/2 Congé",D32))),ISERROR(FIND(" + ",D32)),ISERROR(FIND("1/2 Congé Synd.",D32))),VLOOKUP(D32,Systeemgegevens!$J:$K,2,FALSE),0)))</f>
        <v>0</v>
      </c>
      <c r="AD32" s="43">
        <f>IF(AND(OR(D32="1/2 Congé Synd.",D32="Congé Synd."),((G32-F32)+(I32-H32)+(K32-J32)=0)),VLOOKUP(D32,Systeemgegevens!$J:$K,2,FALSE),IF(AND(D32="1/2 Congé + 1/2 synd.",((G32-F32)+(I32-H32)+(K32-J32)=0)),AC32,0))</f>
        <v>0</v>
      </c>
      <c r="AE32" s="43">
        <f>IF(AND(D32="Jour de pont",((G32-F32)+(I32-H32)+(K32-J32)=0)),VLOOKUP(D32,Systeemgegevens!$J:$K,2,FALSE),0)</f>
        <v>0</v>
      </c>
      <c r="AF32" s="43">
        <f>IF(AND(D32="Jour libre 4/5",AND((G32-F32)+(I32-H32)+(K32-J32)=0)),VLOOKUP(D32,Systeemgegevens!$J:$K,2,FALSE),0)</f>
        <v>0</v>
      </c>
      <c r="AG32" s="118">
        <f>IF(AND(D32&lt;&gt;"",SUM(AB32:AF32)=0,D32&lt;&gt;$AB$4,D32&lt;&gt;$AC$4,D32&lt;&gt;$AE$4,D32&lt;&gt;$AF$4),VLOOKUP(D32,Systeemgegevens!$J:$K,2,FALSE),0)</f>
        <v>0</v>
      </c>
      <c r="AH32" s="119">
        <f t="shared" si="6"/>
        <v>0</v>
      </c>
      <c r="AI32" s="101">
        <f t="shared" si="7"/>
        <v>0</v>
      </c>
      <c r="AJ32" s="118">
        <f t="shared" si="19"/>
        <v>0</v>
      </c>
      <c r="AK32" s="119">
        <f t="shared" si="8"/>
        <v>0</v>
      </c>
      <c r="AL32" s="101">
        <f t="shared" si="9"/>
        <v>0</v>
      </c>
      <c r="AM32" s="43">
        <f t="shared" si="20"/>
        <v>0</v>
      </c>
      <c r="AN32" s="118">
        <f t="shared" si="21"/>
        <v>0</v>
      </c>
      <c r="AO32" s="122">
        <f t="shared" si="10"/>
        <v>0</v>
      </c>
      <c r="AP32" s="107">
        <f t="shared" si="11"/>
        <v>0</v>
      </c>
      <c r="AQ32" s="107">
        <f t="shared" si="12"/>
        <v>0</v>
      </c>
      <c r="AR32" s="123">
        <f t="shared" si="13"/>
        <v>0</v>
      </c>
      <c r="AS32" s="124">
        <f t="shared" si="14"/>
        <v>0</v>
      </c>
      <c r="AT32" s="124">
        <f t="shared" si="15"/>
        <v>0</v>
      </c>
      <c r="AU32" s="124">
        <f t="shared" si="16"/>
        <v>0</v>
      </c>
      <c r="AV32" s="117" t="s">
        <v>7</v>
      </c>
      <c r="AW32" s="129">
        <f>IF(($R$41=AV32)*AND($R$42&lt;&gt;""),VLOOKUP($R$42,'Barèmes police'!$AC$40:$AD$66,2),0)</f>
        <v>0</v>
      </c>
      <c r="AX32" s="129"/>
      <c r="AY32" s="129"/>
      <c r="AZ32" s="154"/>
      <c r="BA32" s="154"/>
      <c r="BB32" s="154"/>
      <c r="BC32" s="154"/>
      <c r="BD32" s="154"/>
      <c r="BE32" s="154"/>
      <c r="BF32" s="154"/>
    </row>
    <row r="33" spans="1:58" ht="12.75" customHeight="1" x14ac:dyDescent="0.2">
      <c r="A33" s="34"/>
      <c r="B33" s="24" t="str">
        <f t="shared" si="0"/>
        <v>Ve</v>
      </c>
      <c r="C33" s="25">
        <f t="shared" si="22"/>
        <v>45499</v>
      </c>
      <c r="D33" s="51"/>
      <c r="E33" s="116"/>
      <c r="F33" s="52"/>
      <c r="G33" s="53"/>
      <c r="H33" s="54"/>
      <c r="I33" s="55"/>
      <c r="J33" s="54"/>
      <c r="K33" s="55"/>
      <c r="L33" s="40">
        <f t="shared" si="1"/>
        <v>0</v>
      </c>
      <c r="M33" s="41">
        <f t="shared" si="23"/>
        <v>0</v>
      </c>
      <c r="N33" s="42">
        <f>IF(AND(D33&lt;&gt;"Jour libre 4/5",B33&lt;&gt;"Sa",B33&lt;&gt;"Di"),SUM(N32,Configuration!$H$41),SUM(N32))</f>
        <v>6.3333333333333304</v>
      </c>
      <c r="O33" s="49" t="str">
        <f t="shared" si="24"/>
        <v>-</v>
      </c>
      <c r="P33" s="143">
        <f t="shared" si="17"/>
        <v>6.3333333333333304</v>
      </c>
      <c r="Q33" s="167">
        <f t="shared" si="18"/>
        <v>0</v>
      </c>
      <c r="R33" s="168">
        <f t="shared" si="18"/>
        <v>0</v>
      </c>
      <c r="S33" s="168">
        <f t="shared" si="18"/>
        <v>0</v>
      </c>
      <c r="T33" s="169">
        <f t="shared" si="18"/>
        <v>0</v>
      </c>
      <c r="U33" s="97">
        <f t="shared" si="2"/>
        <v>0</v>
      </c>
      <c r="V33" s="97">
        <f t="shared" si="3"/>
        <v>0</v>
      </c>
      <c r="W33" s="97">
        <f t="shared" si="4"/>
        <v>0</v>
      </c>
      <c r="X33" s="97">
        <f t="shared" si="5"/>
        <v>0</v>
      </c>
      <c r="Y33" s="209"/>
      <c r="Z33" s="210"/>
      <c r="AA33" s="210"/>
      <c r="AB33" s="128">
        <f>IF(AND(D33="Jour férié semaine",((G33-F33)+(I33-H33)+(K33-J33)=0)),VLOOKUP(D33,Systeemgegevens!$J:$K,2,FALSE),0)</f>
        <v>0</v>
      </c>
      <c r="AC33" s="43">
        <f>IF(AND(NOT(ISERROR(FIND("Congé",D33))),ISERROR(FIND("1/2",D33)),ISERROR(FIND("Synd",D33)),ISERROR(FIND("synd",D33)),(G33-F33+I33-H33+K33-J33)=0),VLOOKUP(D33,Systeemgegevens!$J:$K,2,FALSE),IF(AND(NOT(ISERROR(FIND("1/2 Congé + ",D33))),(G33-F33+I33-H33+K33-J33)=0),VLOOKUP(D33,Systeemgegevens!$J:$K,2,FALSE)/2,IF(AND(NOT(ISERROR(FIND("1/2 Congé",D33))),ISERROR(FIND(" + ",D33)),ISERROR(FIND("1/2 Congé Synd.",D33))),VLOOKUP(D33,Systeemgegevens!$J:$K,2,FALSE),0)))</f>
        <v>0</v>
      </c>
      <c r="AD33" s="43">
        <f>IF(AND(OR(D33="1/2 Congé Synd.",D33="Congé Synd."),((G33-F33)+(I33-H33)+(K33-J33)=0)),VLOOKUP(D33,Systeemgegevens!$J:$K,2,FALSE),IF(AND(D33="1/2 Congé + 1/2 synd.",((G33-F33)+(I33-H33)+(K33-J33)=0)),AC33,0))</f>
        <v>0</v>
      </c>
      <c r="AE33" s="43">
        <f>IF(AND(D33="Jour de pont",((G33-F33)+(I33-H33)+(K33-J33)=0)),VLOOKUP(D33,Systeemgegevens!$J:$K,2,FALSE),0)</f>
        <v>0</v>
      </c>
      <c r="AF33" s="43">
        <f>IF(AND(D33="Jour libre 4/5",AND((G33-F33)+(I33-H33)+(K33-J33)=0)),VLOOKUP(D33,Systeemgegevens!$J:$K,2,FALSE),0)</f>
        <v>0</v>
      </c>
      <c r="AG33" s="118">
        <f>IF(AND(D33&lt;&gt;"",SUM(AB33:AF33)=0,D33&lt;&gt;$AB$4,D33&lt;&gt;$AC$4,D33&lt;&gt;$AE$4,D33&lt;&gt;$AF$4),VLOOKUP(D33,Systeemgegevens!$J:$K,2,FALSE),0)</f>
        <v>0</v>
      </c>
      <c r="AH33" s="119">
        <f t="shared" si="6"/>
        <v>0</v>
      </c>
      <c r="AI33" s="101">
        <f t="shared" si="7"/>
        <v>0</v>
      </c>
      <c r="AJ33" s="118">
        <f t="shared" si="19"/>
        <v>0</v>
      </c>
      <c r="AK33" s="119">
        <f t="shared" si="8"/>
        <v>0</v>
      </c>
      <c r="AL33" s="101">
        <f t="shared" si="9"/>
        <v>0</v>
      </c>
      <c r="AM33" s="43">
        <f t="shared" si="20"/>
        <v>0</v>
      </c>
      <c r="AN33" s="118">
        <f t="shared" si="21"/>
        <v>0</v>
      </c>
      <c r="AO33" s="122">
        <f t="shared" si="10"/>
        <v>0</v>
      </c>
      <c r="AP33" s="107">
        <f t="shared" si="11"/>
        <v>0</v>
      </c>
      <c r="AQ33" s="107">
        <f t="shared" si="12"/>
        <v>0</v>
      </c>
      <c r="AR33" s="123">
        <f t="shared" si="13"/>
        <v>0</v>
      </c>
      <c r="AS33" s="124">
        <f t="shared" si="14"/>
        <v>0</v>
      </c>
      <c r="AT33" s="124">
        <f t="shared" si="15"/>
        <v>0</v>
      </c>
      <c r="AU33" s="124">
        <f t="shared" si="16"/>
        <v>0</v>
      </c>
      <c r="AV33" s="117" t="s">
        <v>12</v>
      </c>
      <c r="AW33" s="129">
        <f>IF(($R$41=AV33)*AND($R$42&lt;&gt;""),VLOOKUP($R$42,'Barèmes police'!$H$40:$I$66,2),0)</f>
        <v>0</v>
      </c>
      <c r="AX33" s="129"/>
      <c r="AY33" s="129"/>
      <c r="AZ33" s="154"/>
      <c r="BA33" s="154"/>
      <c r="BB33" s="154"/>
      <c r="BC33" s="154"/>
      <c r="BD33" s="154"/>
      <c r="BE33" s="154"/>
      <c r="BF33" s="154"/>
    </row>
    <row r="34" spans="1:58" ht="12.75" customHeight="1" x14ac:dyDescent="0.2">
      <c r="A34" s="34"/>
      <c r="B34" s="24" t="str">
        <f t="shared" si="0"/>
        <v>Sa</v>
      </c>
      <c r="C34" s="25">
        <f t="shared" si="22"/>
        <v>45500</v>
      </c>
      <c r="D34" s="51"/>
      <c r="E34" s="116"/>
      <c r="F34" s="52"/>
      <c r="G34" s="53"/>
      <c r="H34" s="54"/>
      <c r="I34" s="55"/>
      <c r="J34" s="54"/>
      <c r="K34" s="55"/>
      <c r="L34" s="40">
        <f t="shared" si="1"/>
        <v>0</v>
      </c>
      <c r="M34" s="41">
        <f t="shared" si="23"/>
        <v>0</v>
      </c>
      <c r="N34" s="42">
        <f>IF(AND(D34&lt;&gt;"Jour libre 4/5",B34&lt;&gt;"Sa",B34&lt;&gt;"Di"),SUM(N33,Configuration!$H$41),SUM(N33))</f>
        <v>6.3333333333333304</v>
      </c>
      <c r="O34" s="49" t="str">
        <f t="shared" si="24"/>
        <v>-</v>
      </c>
      <c r="P34" s="143">
        <f t="shared" si="17"/>
        <v>6.3333333333333304</v>
      </c>
      <c r="Q34" s="167">
        <f t="shared" si="18"/>
        <v>0</v>
      </c>
      <c r="R34" s="168">
        <f t="shared" si="18"/>
        <v>0</v>
      </c>
      <c r="S34" s="168">
        <f t="shared" si="18"/>
        <v>0</v>
      </c>
      <c r="T34" s="169">
        <f t="shared" si="18"/>
        <v>0</v>
      </c>
      <c r="U34" s="97">
        <f t="shared" si="2"/>
        <v>0</v>
      </c>
      <c r="V34" s="97">
        <f t="shared" si="3"/>
        <v>0</v>
      </c>
      <c r="W34" s="97">
        <f t="shared" si="4"/>
        <v>0</v>
      </c>
      <c r="X34" s="97">
        <f t="shared" si="5"/>
        <v>0</v>
      </c>
      <c r="Y34" s="209"/>
      <c r="Z34" s="210"/>
      <c r="AA34" s="210"/>
      <c r="AB34" s="128">
        <f>IF(AND(D34="Jour férié semaine",((G34-F34)+(I34-H34)+(K34-J34)=0)),VLOOKUP(D34,Systeemgegevens!$J:$K,2,FALSE),0)</f>
        <v>0</v>
      </c>
      <c r="AC34" s="43">
        <f>IF(AND(NOT(ISERROR(FIND("Congé",D34))),ISERROR(FIND("1/2",D34)),ISERROR(FIND("Synd",D34)),ISERROR(FIND("synd",D34)),(G34-F34+I34-H34+K34-J34)=0),VLOOKUP(D34,Systeemgegevens!$J:$K,2,FALSE),IF(AND(NOT(ISERROR(FIND("1/2 Congé + ",D34))),(G34-F34+I34-H34+K34-J34)=0),VLOOKUP(D34,Systeemgegevens!$J:$K,2,FALSE)/2,IF(AND(NOT(ISERROR(FIND("1/2 Congé",D34))),ISERROR(FIND(" + ",D34)),ISERROR(FIND("1/2 Congé Synd.",D34))),VLOOKUP(D34,Systeemgegevens!$J:$K,2,FALSE),0)))</f>
        <v>0</v>
      </c>
      <c r="AD34" s="43">
        <f>IF(AND(OR(D34="1/2 Congé Synd.",D34="Congé Synd."),((G34-F34)+(I34-H34)+(K34-J34)=0)),VLOOKUP(D34,Systeemgegevens!$J:$K,2,FALSE),IF(AND(D34="1/2 Congé + 1/2 synd.",((G34-F34)+(I34-H34)+(K34-J34)=0)),AC34,0))</f>
        <v>0</v>
      </c>
      <c r="AE34" s="43">
        <f>IF(AND(D34="Jour de pont",((G34-F34)+(I34-H34)+(K34-J34)=0)),VLOOKUP(D34,Systeemgegevens!$J:$K,2,FALSE),0)</f>
        <v>0</v>
      </c>
      <c r="AF34" s="43">
        <f>IF(AND(D34="Jour libre 4/5",AND((G34-F34)+(I34-H34)+(K34-J34)=0)),VLOOKUP(D34,Systeemgegevens!$J:$K,2,FALSE),0)</f>
        <v>0</v>
      </c>
      <c r="AG34" s="118">
        <f>IF(AND(D34&lt;&gt;"",SUM(AB34:AF34)=0,D34&lt;&gt;$AB$4,D34&lt;&gt;$AC$4,D34&lt;&gt;$AE$4,D34&lt;&gt;$AF$4),VLOOKUP(D34,Systeemgegevens!$J:$K,2,FALSE),0)</f>
        <v>0</v>
      </c>
      <c r="AH34" s="119">
        <f t="shared" si="6"/>
        <v>0</v>
      </c>
      <c r="AI34" s="101">
        <f t="shared" si="7"/>
        <v>0</v>
      </c>
      <c r="AJ34" s="118">
        <f t="shared" si="19"/>
        <v>0</v>
      </c>
      <c r="AK34" s="119">
        <f t="shared" si="8"/>
        <v>0</v>
      </c>
      <c r="AL34" s="101">
        <f t="shared" si="9"/>
        <v>0</v>
      </c>
      <c r="AM34" s="43">
        <f t="shared" si="20"/>
        <v>0</v>
      </c>
      <c r="AN34" s="118">
        <f t="shared" si="21"/>
        <v>0</v>
      </c>
      <c r="AO34" s="122">
        <f t="shared" si="10"/>
        <v>0</v>
      </c>
      <c r="AP34" s="107">
        <f t="shared" si="11"/>
        <v>0</v>
      </c>
      <c r="AQ34" s="107">
        <f t="shared" si="12"/>
        <v>0</v>
      </c>
      <c r="AR34" s="123">
        <f t="shared" si="13"/>
        <v>0</v>
      </c>
      <c r="AS34" s="124">
        <f t="shared" si="14"/>
        <v>0</v>
      </c>
      <c r="AT34" s="124">
        <f t="shared" si="15"/>
        <v>0</v>
      </c>
      <c r="AU34" s="124">
        <f t="shared" si="16"/>
        <v>0</v>
      </c>
      <c r="AV34" s="117" t="s">
        <v>6</v>
      </c>
      <c r="AW34" s="129">
        <f>IF(($R$41=AV34)*AND($R$42&lt;&gt;""),VLOOKUP($R$42,'Barèmes police'!$AF$40:$AG$66,2),0)</f>
        <v>0</v>
      </c>
      <c r="AX34" s="129"/>
      <c r="AY34" s="129"/>
      <c r="AZ34" s="154"/>
      <c r="BA34" s="154"/>
      <c r="BB34" s="154"/>
      <c r="BC34" s="154"/>
      <c r="BD34" s="154"/>
      <c r="BE34" s="154"/>
      <c r="BF34" s="154"/>
    </row>
    <row r="35" spans="1:58" ht="12.75" customHeight="1" x14ac:dyDescent="0.2">
      <c r="A35" s="34"/>
      <c r="B35" s="24" t="str">
        <f t="shared" si="0"/>
        <v>Di</v>
      </c>
      <c r="C35" s="25">
        <f t="shared" si="22"/>
        <v>45501</v>
      </c>
      <c r="D35" s="51"/>
      <c r="E35" s="116"/>
      <c r="F35" s="52"/>
      <c r="G35" s="53"/>
      <c r="H35" s="54"/>
      <c r="I35" s="55"/>
      <c r="J35" s="54"/>
      <c r="K35" s="55"/>
      <c r="L35" s="40">
        <f t="shared" si="1"/>
        <v>0</v>
      </c>
      <c r="M35" s="41">
        <f t="shared" si="23"/>
        <v>0</v>
      </c>
      <c r="N35" s="42">
        <f>IF(AND(D35&lt;&gt;"Jour libre 4/5",B35&lt;&gt;"Sa",B35&lt;&gt;"Di"),SUM(N34,Configuration!$H$41),SUM(N34))</f>
        <v>6.3333333333333304</v>
      </c>
      <c r="O35" s="49" t="str">
        <f t="shared" si="24"/>
        <v>-</v>
      </c>
      <c r="P35" s="143">
        <f t="shared" si="17"/>
        <v>6.3333333333333304</v>
      </c>
      <c r="Q35" s="167">
        <f t="shared" si="18"/>
        <v>0</v>
      </c>
      <c r="R35" s="168">
        <f t="shared" si="18"/>
        <v>0</v>
      </c>
      <c r="S35" s="168">
        <f t="shared" si="18"/>
        <v>0</v>
      </c>
      <c r="T35" s="169">
        <f t="shared" si="18"/>
        <v>0</v>
      </c>
      <c r="U35" s="97">
        <f t="shared" si="2"/>
        <v>0</v>
      </c>
      <c r="V35" s="97">
        <f t="shared" si="3"/>
        <v>0</v>
      </c>
      <c r="W35" s="97">
        <f t="shared" si="4"/>
        <v>0</v>
      </c>
      <c r="X35" s="97">
        <f t="shared" si="5"/>
        <v>0</v>
      </c>
      <c r="Y35" s="209"/>
      <c r="Z35" s="210"/>
      <c r="AA35" s="210"/>
      <c r="AB35" s="128">
        <f>IF(AND(D35="Jour férié semaine",((G35-F35)+(I35-H35)+(K35-J35)=0)),VLOOKUP(D35,Systeemgegevens!$J:$K,2,FALSE),0)</f>
        <v>0</v>
      </c>
      <c r="AC35" s="43">
        <f>IF(AND(NOT(ISERROR(FIND("Congé",D35))),ISERROR(FIND("1/2",D35)),ISERROR(FIND("Synd",D35)),ISERROR(FIND("synd",D35)),(G35-F35+I35-H35+K35-J35)=0),VLOOKUP(D35,Systeemgegevens!$J:$K,2,FALSE),IF(AND(NOT(ISERROR(FIND("1/2 Congé + ",D35))),(G35-F35+I35-H35+K35-J35)=0),VLOOKUP(D35,Systeemgegevens!$J:$K,2,FALSE)/2,IF(AND(NOT(ISERROR(FIND("1/2 Congé",D35))),ISERROR(FIND(" + ",D35)),ISERROR(FIND("1/2 Congé Synd.",D35))),VLOOKUP(D35,Systeemgegevens!$J:$K,2,FALSE),0)))</f>
        <v>0</v>
      </c>
      <c r="AD35" s="43">
        <f>IF(AND(OR(D35="1/2 Congé Synd.",D35="Congé Synd."),((G35-F35)+(I35-H35)+(K35-J35)=0)),VLOOKUP(D35,Systeemgegevens!$J:$K,2,FALSE),IF(AND(D35="1/2 Congé + 1/2 synd.",((G35-F35)+(I35-H35)+(K35-J35)=0)),AC35,0))</f>
        <v>0</v>
      </c>
      <c r="AE35" s="43">
        <f>IF(AND(D35="Jour de pont",((G35-F35)+(I35-H35)+(K35-J35)=0)),VLOOKUP(D35,Systeemgegevens!$J:$K,2,FALSE),0)</f>
        <v>0</v>
      </c>
      <c r="AF35" s="43">
        <f>IF(AND(D35="Jour libre 4/5",AND((G35-F35)+(I35-H35)+(K35-J35)=0)),VLOOKUP(D35,Systeemgegevens!$J:$K,2,FALSE),0)</f>
        <v>0</v>
      </c>
      <c r="AG35" s="118">
        <f>IF(AND(D35&lt;&gt;"",SUM(AB35:AF35)=0,D35&lt;&gt;$AB$4,D35&lt;&gt;$AC$4,D35&lt;&gt;$AE$4,D35&lt;&gt;$AF$4),VLOOKUP(D35,Systeemgegevens!$J:$K,2,FALSE),0)</f>
        <v>0</v>
      </c>
      <c r="AH35" s="119">
        <f t="shared" si="6"/>
        <v>0</v>
      </c>
      <c r="AI35" s="101">
        <f t="shared" si="7"/>
        <v>0</v>
      </c>
      <c r="AJ35" s="118">
        <f t="shared" si="19"/>
        <v>0</v>
      </c>
      <c r="AK35" s="119">
        <f t="shared" si="8"/>
        <v>0</v>
      </c>
      <c r="AL35" s="101">
        <f t="shared" si="9"/>
        <v>0</v>
      </c>
      <c r="AM35" s="43">
        <f t="shared" si="20"/>
        <v>0</v>
      </c>
      <c r="AN35" s="118">
        <f t="shared" si="21"/>
        <v>0</v>
      </c>
      <c r="AO35" s="122">
        <f t="shared" si="10"/>
        <v>0</v>
      </c>
      <c r="AP35" s="107">
        <f t="shared" si="11"/>
        <v>0</v>
      </c>
      <c r="AQ35" s="107">
        <f t="shared" si="12"/>
        <v>0</v>
      </c>
      <c r="AR35" s="123">
        <f t="shared" si="13"/>
        <v>0</v>
      </c>
      <c r="AS35" s="124">
        <f t="shared" si="14"/>
        <v>0</v>
      </c>
      <c r="AT35" s="124">
        <f t="shared" si="15"/>
        <v>0</v>
      </c>
      <c r="AU35" s="124">
        <f t="shared" si="16"/>
        <v>0</v>
      </c>
      <c r="AV35" s="117" t="s">
        <v>11</v>
      </c>
      <c r="AW35" s="129">
        <f>IF(($R$41=AV35)*AND($R$42&lt;&gt;""),VLOOKUP($R$42,'Barèmes police'!$K$40:$L$66,2),0)</f>
        <v>0</v>
      </c>
      <c r="AX35" s="129"/>
      <c r="AY35" s="129"/>
      <c r="AZ35" s="154"/>
      <c r="BA35" s="154"/>
      <c r="BB35" s="154"/>
      <c r="BC35" s="154"/>
      <c r="BD35" s="154"/>
      <c r="BE35" s="154"/>
      <c r="BF35" s="154"/>
    </row>
    <row r="36" spans="1:58" ht="12.75" customHeight="1" x14ac:dyDescent="0.2">
      <c r="A36" s="34"/>
      <c r="B36" s="24" t="str">
        <f t="shared" si="0"/>
        <v>Lu</v>
      </c>
      <c r="C36" s="25">
        <f t="shared" si="22"/>
        <v>45502</v>
      </c>
      <c r="D36" s="51"/>
      <c r="E36" s="116"/>
      <c r="F36" s="52"/>
      <c r="G36" s="53"/>
      <c r="H36" s="54"/>
      <c r="I36" s="55"/>
      <c r="J36" s="54"/>
      <c r="K36" s="55"/>
      <c r="L36" s="40">
        <f t="shared" si="1"/>
        <v>0</v>
      </c>
      <c r="M36" s="41">
        <f t="shared" si="23"/>
        <v>0</v>
      </c>
      <c r="N36" s="42">
        <f>IF(AND(D36&lt;&gt;"Jour libre 4/5",B36&lt;&gt;"Sa",B36&lt;&gt;"Di"),SUM(N35,Configuration!$H$41),SUM(N35))</f>
        <v>6.6499999999999968</v>
      </c>
      <c r="O36" s="49" t="str">
        <f t="shared" si="24"/>
        <v>-</v>
      </c>
      <c r="P36" s="143">
        <f t="shared" si="17"/>
        <v>6.6499999999999968</v>
      </c>
      <c r="Q36" s="167">
        <f t="shared" si="18"/>
        <v>0</v>
      </c>
      <c r="R36" s="168">
        <f t="shared" si="18"/>
        <v>0</v>
      </c>
      <c r="S36" s="168">
        <f t="shared" si="18"/>
        <v>0</v>
      </c>
      <c r="T36" s="169">
        <f t="shared" si="18"/>
        <v>0</v>
      </c>
      <c r="U36" s="97">
        <f t="shared" si="2"/>
        <v>0</v>
      </c>
      <c r="V36" s="97">
        <f t="shared" si="3"/>
        <v>0</v>
      </c>
      <c r="W36" s="97">
        <f t="shared" si="4"/>
        <v>0</v>
      </c>
      <c r="X36" s="97">
        <f t="shared" si="5"/>
        <v>0</v>
      </c>
      <c r="Y36" s="209"/>
      <c r="Z36" s="210"/>
      <c r="AA36" s="210"/>
      <c r="AB36" s="128">
        <f>IF(AND(D36="Jour férié semaine",((G36-F36)+(I36-H36)+(K36-J36)=0)),VLOOKUP(D36,Systeemgegevens!$J:$K,2,FALSE),0)</f>
        <v>0</v>
      </c>
      <c r="AC36" s="43">
        <f>IF(AND(NOT(ISERROR(FIND("Congé",D36))),ISERROR(FIND("1/2",D36)),ISERROR(FIND("Synd",D36)),ISERROR(FIND("synd",D36)),(G36-F36+I36-H36+K36-J36)=0),VLOOKUP(D36,Systeemgegevens!$J:$K,2,FALSE),IF(AND(NOT(ISERROR(FIND("1/2 Congé + ",D36))),(G36-F36+I36-H36+K36-J36)=0),VLOOKUP(D36,Systeemgegevens!$J:$K,2,FALSE)/2,IF(AND(NOT(ISERROR(FIND("1/2 Congé",D36))),ISERROR(FIND(" + ",D36)),ISERROR(FIND("1/2 Congé Synd.",D36))),VLOOKUP(D36,Systeemgegevens!$J:$K,2,FALSE),0)))</f>
        <v>0</v>
      </c>
      <c r="AD36" s="43">
        <f>IF(AND(OR(D36="1/2 Congé Synd.",D36="Congé Synd."),((G36-F36)+(I36-H36)+(K36-J36)=0)),VLOOKUP(D36,Systeemgegevens!$J:$K,2,FALSE),IF(AND(D36="1/2 Congé + 1/2 synd.",((G36-F36)+(I36-H36)+(K36-J36)=0)),AC36,0))</f>
        <v>0</v>
      </c>
      <c r="AE36" s="43">
        <f>IF(AND(D36="Jour de pont",((G36-F36)+(I36-H36)+(K36-J36)=0)),VLOOKUP(D36,Systeemgegevens!$J:$K,2,FALSE),0)</f>
        <v>0</v>
      </c>
      <c r="AF36" s="43">
        <f>IF(AND(D36="Jour libre 4/5",AND((G36-F36)+(I36-H36)+(K36-J36)=0)),VLOOKUP(D36,Systeemgegevens!$J:$K,2,FALSE),0)</f>
        <v>0</v>
      </c>
      <c r="AG36" s="118">
        <f>IF(AND(D36&lt;&gt;"",SUM(AB36:AF36)=0,D36&lt;&gt;$AB$4,D36&lt;&gt;$AC$4,D36&lt;&gt;$AE$4,D36&lt;&gt;$AF$4),VLOOKUP(D36,Systeemgegevens!$J:$K,2,FALSE),0)</f>
        <v>0</v>
      </c>
      <c r="AH36" s="119">
        <f t="shared" si="6"/>
        <v>0</v>
      </c>
      <c r="AI36" s="101">
        <f t="shared" si="7"/>
        <v>0</v>
      </c>
      <c r="AJ36" s="118">
        <f t="shared" si="19"/>
        <v>0</v>
      </c>
      <c r="AK36" s="119">
        <f t="shared" si="8"/>
        <v>0</v>
      </c>
      <c r="AL36" s="101">
        <f t="shared" si="9"/>
        <v>0</v>
      </c>
      <c r="AM36" s="43">
        <f t="shared" si="20"/>
        <v>0</v>
      </c>
      <c r="AN36" s="118">
        <f t="shared" si="21"/>
        <v>0</v>
      </c>
      <c r="AO36" s="122">
        <f t="shared" si="10"/>
        <v>0</v>
      </c>
      <c r="AP36" s="107">
        <f t="shared" si="11"/>
        <v>0</v>
      </c>
      <c r="AQ36" s="107">
        <f t="shared" si="12"/>
        <v>0</v>
      </c>
      <c r="AR36" s="123">
        <f t="shared" si="13"/>
        <v>0</v>
      </c>
      <c r="AS36" s="124">
        <f t="shared" si="14"/>
        <v>0</v>
      </c>
      <c r="AT36" s="124">
        <f t="shared" si="15"/>
        <v>0</v>
      </c>
      <c r="AU36" s="124">
        <f t="shared" si="16"/>
        <v>0</v>
      </c>
      <c r="AV36" s="117" t="s">
        <v>2</v>
      </c>
      <c r="AW36" s="129">
        <f>IF(($R$41=AV36)*AND($R$42&lt;&gt;""),VLOOKUP($R$42,'Barèmes police'!$AR$40:$AS$66,2),0)</f>
        <v>0</v>
      </c>
      <c r="AX36" s="129"/>
      <c r="AY36" s="129"/>
      <c r="AZ36" s="154"/>
      <c r="BA36" s="154"/>
      <c r="BB36" s="154"/>
      <c r="BC36" s="154"/>
      <c r="BD36" s="154"/>
      <c r="BE36" s="154"/>
      <c r="BF36" s="154"/>
    </row>
    <row r="37" spans="1:58" ht="12.75" customHeight="1" x14ac:dyDescent="0.2">
      <c r="A37" s="34"/>
      <c r="B37" s="24" t="str">
        <f t="shared" si="0"/>
        <v>Ma</v>
      </c>
      <c r="C37" s="25">
        <f t="shared" si="22"/>
        <v>45503</v>
      </c>
      <c r="D37" s="51"/>
      <c r="E37" s="116"/>
      <c r="F37" s="52"/>
      <c r="G37" s="53"/>
      <c r="H37" s="54"/>
      <c r="I37" s="55"/>
      <c r="J37" s="54"/>
      <c r="K37" s="55"/>
      <c r="L37" s="40">
        <f t="shared" si="1"/>
        <v>0</v>
      </c>
      <c r="M37" s="41">
        <f t="shared" si="23"/>
        <v>0</v>
      </c>
      <c r="N37" s="42">
        <f>IF(AND(D37&lt;&gt;"Jour libre 4/5",B37&lt;&gt;"Sa",B37&lt;&gt;"Di"),SUM(N36,Configuration!$H$41),SUM(N36))</f>
        <v>6.9666666666666632</v>
      </c>
      <c r="O37" s="49" t="str">
        <f t="shared" si="24"/>
        <v>-</v>
      </c>
      <c r="P37" s="143">
        <f t="shared" si="17"/>
        <v>6.9666666666666632</v>
      </c>
      <c r="Q37" s="167">
        <f t="shared" si="18"/>
        <v>0</v>
      </c>
      <c r="R37" s="168">
        <f t="shared" si="18"/>
        <v>0</v>
      </c>
      <c r="S37" s="168">
        <f t="shared" si="18"/>
        <v>0</v>
      </c>
      <c r="T37" s="169">
        <f t="shared" si="18"/>
        <v>0</v>
      </c>
      <c r="U37" s="97">
        <f t="shared" si="2"/>
        <v>0</v>
      </c>
      <c r="V37" s="97">
        <f t="shared" si="3"/>
        <v>0</v>
      </c>
      <c r="W37" s="97">
        <f t="shared" si="4"/>
        <v>0</v>
      </c>
      <c r="X37" s="97">
        <f t="shared" si="5"/>
        <v>0</v>
      </c>
      <c r="Y37" s="209"/>
      <c r="Z37" s="210"/>
      <c r="AA37" s="210"/>
      <c r="AB37" s="128">
        <f>IF(AND(D37="Jour férié semaine",((G37-F37)+(I37-H37)+(K37-J37)=0)),VLOOKUP(D37,Systeemgegevens!$J:$K,2,FALSE),0)</f>
        <v>0</v>
      </c>
      <c r="AC37" s="43">
        <f>IF(AND(NOT(ISERROR(FIND("Congé",D37))),ISERROR(FIND("1/2",D37)),ISERROR(FIND("Synd",D37)),ISERROR(FIND("synd",D37)),(G37-F37+I37-H37+K37-J37)=0),VLOOKUP(D37,Systeemgegevens!$J:$K,2,FALSE),IF(AND(NOT(ISERROR(FIND("1/2 Congé + ",D37))),(G37-F37+I37-H37+K37-J37)=0),VLOOKUP(D37,Systeemgegevens!$J:$K,2,FALSE)/2,IF(AND(NOT(ISERROR(FIND("1/2 Congé",D37))),ISERROR(FIND(" + ",D37)),ISERROR(FIND("1/2 Congé Synd.",D37))),VLOOKUP(D37,Systeemgegevens!$J:$K,2,FALSE),0)))</f>
        <v>0</v>
      </c>
      <c r="AD37" s="43">
        <f>IF(AND(OR(D37="1/2 Congé Synd.",D37="Congé Synd."),((G37-F37)+(I37-H37)+(K37-J37)=0)),VLOOKUP(D37,Systeemgegevens!$J:$K,2,FALSE),IF(AND(D37="1/2 Congé + 1/2 synd.",((G37-F37)+(I37-H37)+(K37-J37)=0)),AC37,0))</f>
        <v>0</v>
      </c>
      <c r="AE37" s="43">
        <f>IF(AND(D37="Jour de pont",((G37-F37)+(I37-H37)+(K37-J37)=0)),VLOOKUP(D37,Systeemgegevens!$J:$K,2,FALSE),0)</f>
        <v>0</v>
      </c>
      <c r="AF37" s="43">
        <f>IF(AND(D37="Jour libre 4/5",AND((G37-F37)+(I37-H37)+(K37-J37)=0)),VLOOKUP(D37,Systeemgegevens!$J:$K,2,FALSE),0)</f>
        <v>0</v>
      </c>
      <c r="AG37" s="118">
        <f>IF(AND(D37&lt;&gt;"",SUM(AB37:AF37)=0,D37&lt;&gt;$AB$4,D37&lt;&gt;$AC$4,D37&lt;&gt;$AE$4,D37&lt;&gt;$AF$4),VLOOKUP(D37,Systeemgegevens!$J:$K,2,FALSE),0)</f>
        <v>0</v>
      </c>
      <c r="AH37" s="119">
        <f t="shared" si="6"/>
        <v>0</v>
      </c>
      <c r="AI37" s="101">
        <f t="shared" si="7"/>
        <v>0</v>
      </c>
      <c r="AJ37" s="118">
        <f t="shared" si="19"/>
        <v>0</v>
      </c>
      <c r="AK37" s="119">
        <f t="shared" si="8"/>
        <v>0</v>
      </c>
      <c r="AL37" s="101">
        <f t="shared" si="9"/>
        <v>0</v>
      </c>
      <c r="AM37" s="43">
        <f t="shared" si="20"/>
        <v>0</v>
      </c>
      <c r="AN37" s="118">
        <f t="shared" si="21"/>
        <v>0</v>
      </c>
      <c r="AO37" s="122">
        <f t="shared" si="10"/>
        <v>0</v>
      </c>
      <c r="AP37" s="107">
        <f t="shared" si="11"/>
        <v>0</v>
      </c>
      <c r="AQ37" s="107">
        <f t="shared" si="12"/>
        <v>0</v>
      </c>
      <c r="AR37" s="123">
        <f t="shared" si="13"/>
        <v>0</v>
      </c>
      <c r="AS37" s="124">
        <f t="shared" si="14"/>
        <v>0</v>
      </c>
      <c r="AT37" s="124">
        <f t="shared" si="15"/>
        <v>0</v>
      </c>
      <c r="AU37" s="124">
        <f t="shared" si="16"/>
        <v>0</v>
      </c>
      <c r="AV37" s="117" t="s">
        <v>269</v>
      </c>
      <c r="AW37" s="129">
        <f>IF(($R$41=AV37)*AND($R$42&lt;&gt;""),VLOOKUP($R$42,'Barèmes police'!$AU$40:$AV$66,2),0)</f>
        <v>0</v>
      </c>
      <c r="AX37" s="129"/>
      <c r="AY37" s="129"/>
      <c r="AZ37" s="154"/>
      <c r="BA37" s="154"/>
      <c r="BB37" s="154"/>
      <c r="BC37" s="154"/>
      <c r="BD37" s="154"/>
      <c r="BE37" s="154"/>
      <c r="BF37" s="154"/>
    </row>
    <row r="38" spans="1:58" ht="12.75" customHeight="1" x14ac:dyDescent="0.2">
      <c r="A38" s="34"/>
      <c r="B38" s="36" t="str">
        <f t="shared" si="0"/>
        <v>Me</v>
      </c>
      <c r="C38" s="25">
        <f t="shared" si="22"/>
        <v>45504</v>
      </c>
      <c r="D38" s="56"/>
      <c r="E38" s="56"/>
      <c r="F38" s="149"/>
      <c r="G38" s="150"/>
      <c r="H38" s="57"/>
      <c r="I38" s="58"/>
      <c r="J38" s="57"/>
      <c r="K38" s="58"/>
      <c r="L38" s="44">
        <f t="shared" si="1"/>
        <v>0</v>
      </c>
      <c r="M38" s="46">
        <f>M37+L38</f>
        <v>0</v>
      </c>
      <c r="N38" s="47">
        <f>IF(AND(D38&lt;&gt;"Jour libre 4/5",B38&lt;&gt;"Sa",B38&lt;&gt;"Di"),SUM(N37,Configuration!$H$41),SUM(N37))</f>
        <v>7.2833333333333297</v>
      </c>
      <c r="O38" s="50" t="str">
        <f t="shared" si="24"/>
        <v>-</v>
      </c>
      <c r="P38" s="142">
        <f t="shared" si="17"/>
        <v>7.2833333333333297</v>
      </c>
      <c r="Q38" s="170">
        <f t="shared" si="18"/>
        <v>0</v>
      </c>
      <c r="R38" s="171">
        <f t="shared" si="18"/>
        <v>0</v>
      </c>
      <c r="S38" s="171">
        <f t="shared" si="18"/>
        <v>0</v>
      </c>
      <c r="T38" s="172">
        <f t="shared" si="18"/>
        <v>0</v>
      </c>
      <c r="U38" s="98">
        <f t="shared" si="2"/>
        <v>0</v>
      </c>
      <c r="V38" s="98">
        <f t="shared" si="3"/>
        <v>0</v>
      </c>
      <c r="W38" s="98">
        <f t="shared" si="4"/>
        <v>0</v>
      </c>
      <c r="X38" s="98">
        <f t="shared" si="5"/>
        <v>0</v>
      </c>
      <c r="Y38" s="211"/>
      <c r="Z38" s="212"/>
      <c r="AA38" s="212"/>
      <c r="AB38" s="128">
        <f>IF(AND(D38="Jour férié semaine",((G38-F38)+(I38-H38)+(K38-J38)=0)),VLOOKUP(D38,Systeemgegevens!$J:$K,2,FALSE),0)</f>
        <v>0</v>
      </c>
      <c r="AC38" s="43">
        <f>IF(AND(NOT(ISERROR(FIND("Congé",D38))),ISERROR(FIND("1/2",D38)),ISERROR(FIND("Synd",D38)),ISERROR(FIND("synd",D38)),(G38-F38+I38-H38+K38-J38)=0),VLOOKUP(D38,Systeemgegevens!$J:$K,2,FALSE),IF(AND(NOT(ISERROR(FIND("1/2 Congé + ",D38))),(G38-F38+I38-H38+K38-J38)=0),VLOOKUP(D38,Systeemgegevens!$J:$K,2,FALSE)/2,IF(AND(NOT(ISERROR(FIND("1/2 Congé",D38))),ISERROR(FIND(" + ",D38)),ISERROR(FIND("1/2 Congé Synd.",D38))),VLOOKUP(D38,Systeemgegevens!$J:$K,2,FALSE),0)))</f>
        <v>0</v>
      </c>
      <c r="AD38" s="43">
        <f>IF(AND(OR(D38="1/2 Congé Synd.",D38="Congé Synd."),((G38-F38)+(I38-H38)+(K38-J38)=0)),VLOOKUP(D38,Systeemgegevens!$J:$K,2,FALSE),IF(AND(D38="1/2 Congé + 1/2 synd.",((G38-F38)+(I38-H38)+(K38-J38)=0)),AC38,0))</f>
        <v>0</v>
      </c>
      <c r="AE38" s="43">
        <f>IF(AND(D38="Jour de pont",((G38-F38)+(I38-H38)+(K38-J38)=0)),VLOOKUP(D38,Systeemgegevens!$J:$K,2,FALSE),0)</f>
        <v>0</v>
      </c>
      <c r="AF38" s="43">
        <f>IF(AND(D38="Jour libre 4/5",AND((G38-F38)+(I38-H38)+(K38-J38)=0)),VLOOKUP(D38,Systeemgegevens!$J:$K,2,FALSE),0)</f>
        <v>0</v>
      </c>
      <c r="AG38" s="118">
        <f>IF(AND(D38&lt;&gt;"",SUM(AB38:AF38)=0,D38&lt;&gt;$AB$4,D38&lt;&gt;$AC$4,D38&lt;&gt;$AE$4,D38&lt;&gt;$AF$4),VLOOKUP(D38,Systeemgegevens!$J:$K,2,FALSE),0)</f>
        <v>0</v>
      </c>
      <c r="AH38" s="119">
        <f t="shared" si="6"/>
        <v>0</v>
      </c>
      <c r="AI38" s="101">
        <f t="shared" si="7"/>
        <v>0</v>
      </c>
      <c r="AJ38" s="118">
        <f t="shared" si="19"/>
        <v>0</v>
      </c>
      <c r="AK38" s="119">
        <f t="shared" si="8"/>
        <v>0</v>
      </c>
      <c r="AL38" s="101">
        <f t="shared" si="9"/>
        <v>0</v>
      </c>
      <c r="AM38" s="43">
        <f t="shared" si="20"/>
        <v>0</v>
      </c>
      <c r="AN38" s="118">
        <f t="shared" si="21"/>
        <v>0</v>
      </c>
      <c r="AO38" s="122">
        <f t="shared" si="10"/>
        <v>0</v>
      </c>
      <c r="AP38" s="107">
        <f t="shared" si="11"/>
        <v>0</v>
      </c>
      <c r="AQ38" s="107">
        <f t="shared" si="12"/>
        <v>0</v>
      </c>
      <c r="AR38" s="123">
        <f t="shared" si="13"/>
        <v>0</v>
      </c>
      <c r="AS38" s="124">
        <f t="shared" si="14"/>
        <v>0</v>
      </c>
      <c r="AT38" s="124">
        <f t="shared" si="15"/>
        <v>0</v>
      </c>
      <c r="AU38" s="124">
        <f t="shared" si="16"/>
        <v>0</v>
      </c>
      <c r="AX38" s="129"/>
      <c r="AY38" s="129"/>
      <c r="AZ38" s="154"/>
      <c r="BA38" s="154"/>
      <c r="BB38" s="154"/>
      <c r="BC38" s="154"/>
      <c r="BD38" s="154"/>
      <c r="BE38" s="154"/>
      <c r="BF38" s="154"/>
    </row>
    <row r="39" spans="1:58" ht="12.75" customHeight="1" x14ac:dyDescent="0.2">
      <c r="C39" s="281"/>
      <c r="AX39" s="129"/>
      <c r="AY39" s="129"/>
    </row>
    <row r="40" spans="1:58" ht="12.75" customHeight="1" x14ac:dyDescent="0.2">
      <c r="J40" s="215"/>
      <c r="K40" s="215"/>
      <c r="L40" s="215"/>
      <c r="M40" s="216"/>
      <c r="N40" s="215"/>
      <c r="O40" s="217"/>
      <c r="P40" s="215"/>
      <c r="Q40" s="215"/>
      <c r="R40" s="215"/>
      <c r="S40" s="215"/>
      <c r="T40" s="215"/>
      <c r="U40" s="217"/>
      <c r="V40" s="217"/>
      <c r="W40" s="416" t="s">
        <v>212</v>
      </c>
      <c r="X40" s="417"/>
      <c r="Y40" s="23"/>
      <c r="Z40" s="218"/>
      <c r="AA40" s="218"/>
      <c r="AV40" s="117" t="s">
        <v>8</v>
      </c>
      <c r="AW40" s="129">
        <f>IF(($R$41=AV40)*AND($R$42&lt;&gt;""),VLOOKUP($R$42,'Barèmes police'!$Z$40:$AA$66,2),0)</f>
        <v>0</v>
      </c>
      <c r="AX40" s="129"/>
      <c r="AY40" s="129"/>
    </row>
    <row r="41" spans="1:58" ht="12.75" customHeight="1" x14ac:dyDescent="0.2">
      <c r="B41" s="475" t="s">
        <v>201</v>
      </c>
      <c r="C41" s="414"/>
      <c r="D41" s="398"/>
      <c r="E41" s="397" t="s">
        <v>202</v>
      </c>
      <c r="F41" s="398"/>
      <c r="G41" s="414" t="s">
        <v>243</v>
      </c>
      <c r="H41" s="415"/>
      <c r="J41" s="407" t="s">
        <v>237</v>
      </c>
      <c r="K41" s="408"/>
      <c r="L41" s="408"/>
      <c r="M41" s="408"/>
      <c r="N41" s="408"/>
      <c r="O41" s="219"/>
      <c r="P41" s="220"/>
      <c r="Q41" s="220"/>
      <c r="R41" s="405" t="s">
        <v>36</v>
      </c>
      <c r="S41" s="406"/>
      <c r="T41" s="402" t="s">
        <v>213</v>
      </c>
      <c r="U41" s="403"/>
      <c r="V41" s="404"/>
      <c r="W41" s="221">
        <v>1</v>
      </c>
      <c r="X41" s="222" t="s">
        <v>54</v>
      </c>
      <c r="Y41" s="23"/>
      <c r="Z41" s="383" t="s">
        <v>75</v>
      </c>
      <c r="AA41" s="384"/>
      <c r="AV41" s="117" t="s">
        <v>5</v>
      </c>
      <c r="AW41" s="129">
        <f>IF(($R$41=AV41)*AND($R$42&lt;&gt;""),VLOOKUP($R$42,'Barèmes police'!$AI$40:$AJ$66,2),0)</f>
        <v>0</v>
      </c>
      <c r="AX41" s="129"/>
      <c r="AY41" s="129"/>
    </row>
    <row r="42" spans="1:58" ht="12.75" customHeight="1" x14ac:dyDescent="0.2">
      <c r="B42" s="476" t="s">
        <v>205</v>
      </c>
      <c r="C42" s="477"/>
      <c r="D42" s="478"/>
      <c r="E42" s="412">
        <f>Jun!E45</f>
        <v>34</v>
      </c>
      <c r="F42" s="413"/>
      <c r="G42" s="399">
        <f>Jun!G45</f>
        <v>10.766666666666666</v>
      </c>
      <c r="H42" s="399"/>
      <c r="J42" s="223"/>
      <c r="K42" s="224"/>
      <c r="L42" s="224"/>
      <c r="M42" s="224"/>
      <c r="N42" s="224"/>
      <c r="O42" s="225"/>
      <c r="P42" s="226"/>
      <c r="Q42" s="226"/>
      <c r="R42" s="464">
        <v>0</v>
      </c>
      <c r="S42" s="465"/>
      <c r="T42" s="466">
        <f>SUM(AW8:AW201)</f>
        <v>14703.88</v>
      </c>
      <c r="U42" s="467"/>
      <c r="V42" s="468"/>
      <c r="W42" s="213">
        <v>13409.11</v>
      </c>
      <c r="X42" s="214">
        <v>12735.61</v>
      </c>
      <c r="Y42" s="23"/>
      <c r="Z42" s="457">
        <v>2.0398999999999998</v>
      </c>
      <c r="AA42" s="458"/>
      <c r="AV42" s="117" t="s">
        <v>10</v>
      </c>
      <c r="AW42" s="129">
        <f>IF(($R$41=AV42)*AND($R$42&lt;&gt;""),VLOOKUP($R$42,'Barèmes police'!$N$40:$O$66,2),0)</f>
        <v>0</v>
      </c>
      <c r="AX42" s="129"/>
      <c r="AY42" s="129"/>
    </row>
    <row r="43" spans="1:58" ht="12.75" customHeight="1" x14ac:dyDescent="0.2">
      <c r="B43" s="476" t="s">
        <v>203</v>
      </c>
      <c r="C43" s="477"/>
      <c r="D43" s="478"/>
      <c r="E43" s="459">
        <v>0</v>
      </c>
      <c r="F43" s="460"/>
      <c r="G43" s="463">
        <f>E43*Configuration!$H$41</f>
        <v>0</v>
      </c>
      <c r="H43" s="463"/>
      <c r="J43" s="227" t="s">
        <v>215</v>
      </c>
      <c r="K43" s="228"/>
      <c r="L43" s="229"/>
      <c r="M43" s="230">
        <f>IF(MINUTE(SUM(U8:U39))&gt;=30,SUM(U8:U39)+(TIME(1,0,0))-TIME(0,MINUTE(SUM(U8:U39)),0),SUM(U8:U39)-TIME(0,MINUTE(SUM(U8:U39)),0))</f>
        <v>0</v>
      </c>
      <c r="N43" s="219" t="s">
        <v>190</v>
      </c>
      <c r="O43" s="231"/>
      <c r="P43" s="220"/>
      <c r="Q43" s="220"/>
      <c r="R43" s="232"/>
      <c r="S43" s="354">
        <f>IF($R$2="Oui",(M43*AK44*24),0)</f>
        <v>0</v>
      </c>
      <c r="T43" s="355"/>
      <c r="U43" s="355"/>
      <c r="V43" s="233" t="s">
        <v>55</v>
      </c>
      <c r="W43" s="234">
        <f>IF($R$3="Oui",M43*AK49*24,0)</f>
        <v>0</v>
      </c>
      <c r="X43" s="235" t="s">
        <v>55</v>
      </c>
      <c r="Y43" s="23"/>
      <c r="Z43" s="218"/>
      <c r="AA43" s="218"/>
      <c r="AB43" s="352" t="s">
        <v>66</v>
      </c>
      <c r="AC43" s="353"/>
      <c r="AD43" s="353"/>
      <c r="AE43" s="130">
        <f>T42*Z42</f>
        <v>29994.444811999994</v>
      </c>
      <c r="AG43" s="352" t="s">
        <v>64</v>
      </c>
      <c r="AH43" s="353"/>
      <c r="AI43" s="353"/>
      <c r="AJ43" s="353"/>
      <c r="AK43" s="130">
        <f>T42*Z42/1850</f>
        <v>16.213213411891889</v>
      </c>
      <c r="AM43" s="389" t="s">
        <v>163</v>
      </c>
      <c r="AN43" s="390"/>
      <c r="AO43" s="390"/>
      <c r="AP43" s="390"/>
      <c r="AQ43" s="390"/>
      <c r="AR43" s="127"/>
      <c r="AV43" s="18" t="s">
        <v>4</v>
      </c>
      <c r="AW43" s="129">
        <f>IF(($R$41=AV43)*AND($R$42&lt;&gt;""),VLOOKUP($R$42,'Barèmes police'!$AL$40:$AM$66,2),0)</f>
        <v>0</v>
      </c>
      <c r="AX43" s="129"/>
      <c r="AY43" s="129"/>
    </row>
    <row r="44" spans="1:58" ht="12.75" customHeight="1" x14ac:dyDescent="0.2">
      <c r="B44" s="476" t="s">
        <v>260</v>
      </c>
      <c r="C44" s="477"/>
      <c r="D44" s="478"/>
      <c r="E44" s="412">
        <f>SUM(AU8:AU39)</f>
        <v>0</v>
      </c>
      <c r="F44" s="413"/>
      <c r="G44" s="399">
        <f>SUM(AU8:AU39)*Configuration!H41</f>
        <v>0</v>
      </c>
      <c r="H44" s="399"/>
      <c r="J44" s="236" t="s">
        <v>217</v>
      </c>
      <c r="K44" s="237"/>
      <c r="L44" s="238"/>
      <c r="M44" s="239">
        <f>IF(MINUTE(SUM(V8:V39))&gt;=30,SUM(V8:V39)+(TIME(1,0,0))-TIME(0,MINUTE(SUM(V8:V39)),0),SUM(V8:V39)-TIME(0,MINUTE(SUM(V8:V39)),0))</f>
        <v>0</v>
      </c>
      <c r="N44" s="225" t="s">
        <v>190</v>
      </c>
      <c r="O44" s="240"/>
      <c r="P44" s="226"/>
      <c r="Q44" s="226"/>
      <c r="R44" s="232"/>
      <c r="S44" s="354">
        <f>IF($R$2="Oui",M44*AK45*24,0)</f>
        <v>0</v>
      </c>
      <c r="T44" s="355"/>
      <c r="U44" s="355"/>
      <c r="V44" s="233" t="s">
        <v>55</v>
      </c>
      <c r="W44" s="23"/>
      <c r="X44" s="241"/>
      <c r="Y44" s="23"/>
      <c r="Z44" s="377" t="s">
        <v>211</v>
      </c>
      <c r="AA44" s="378"/>
      <c r="AB44" s="358" t="s">
        <v>67</v>
      </c>
      <c r="AC44" s="359"/>
      <c r="AD44" s="359"/>
      <c r="AE44" s="121">
        <f>AE43*0.075</f>
        <v>2249.5833608999997</v>
      </c>
      <c r="AG44" s="358" t="s">
        <v>65</v>
      </c>
      <c r="AH44" s="359"/>
      <c r="AI44" s="359"/>
      <c r="AJ44" s="359"/>
      <c r="AK44" s="136">
        <f>(AK43*0.9645)*AE49</f>
        <v>9.3231635529859105</v>
      </c>
      <c r="AM44" s="391" t="str">
        <f>IF(Configuration!$H$30="Dagen","Aantal dagen beschikbaar:","Aantal uren beschikbaar:")</f>
        <v>Aantal uren beschikbaar:</v>
      </c>
      <c r="AN44" s="392"/>
      <c r="AO44" s="392"/>
      <c r="AP44" s="392"/>
      <c r="AQ44" s="393">
        <f>IF(Configuration!H30="Dagen",Configuration!H45,Configuration!H45)</f>
        <v>99999</v>
      </c>
      <c r="AR44" s="394"/>
      <c r="AV44" s="18" t="s">
        <v>9</v>
      </c>
      <c r="AW44" s="129">
        <f>IF(($R$41=AV44)*AND($R$42&lt;&gt;""),VLOOKUP($R$42,'Barèmes police'!$Q$40:$R$66,2),0)</f>
        <v>0</v>
      </c>
      <c r="AX44" s="129"/>
      <c r="AY44" s="129"/>
    </row>
    <row r="45" spans="1:58" ht="12.75" customHeight="1" x14ac:dyDescent="0.2">
      <c r="B45" s="476" t="s">
        <v>204</v>
      </c>
      <c r="C45" s="477"/>
      <c r="D45" s="478"/>
      <c r="E45" s="412">
        <f>SUM(AC8:AC39)/Configuration!H41</f>
        <v>0</v>
      </c>
      <c r="F45" s="413"/>
      <c r="G45" s="399">
        <f>SUM(AC8:AC39)</f>
        <v>0</v>
      </c>
      <c r="H45" s="399"/>
      <c r="J45" s="236" t="s">
        <v>216</v>
      </c>
      <c r="K45" s="237"/>
      <c r="L45" s="238"/>
      <c r="M45" s="239">
        <f>IF(MINUTE(SUM(W8:W39))&gt;=30,SUM(W8:W39)+(TIME(1,0,0))-TIME(0,MINUTE(SUM(W8:W39)),0),SUM(W8:W39)-TIME(0,MINUTE(SUM(W8:W39)),0))</f>
        <v>0</v>
      </c>
      <c r="N45" s="237" t="s">
        <v>190</v>
      </c>
      <c r="O45" s="225"/>
      <c r="P45" s="225"/>
      <c r="Q45" s="225"/>
      <c r="R45" s="233"/>
      <c r="S45" s="354">
        <f>IF($R$2="Oui",M45*AK46*24,0)</f>
        <v>0</v>
      </c>
      <c r="T45" s="355"/>
      <c r="U45" s="355"/>
      <c r="V45" s="233" t="s">
        <v>55</v>
      </c>
      <c r="W45" s="234"/>
      <c r="X45" s="235"/>
      <c r="Y45" s="23"/>
      <c r="Z45" s="379"/>
      <c r="AA45" s="380"/>
      <c r="AB45" s="358" t="s">
        <v>68</v>
      </c>
      <c r="AC45" s="359"/>
      <c r="AD45" s="359"/>
      <c r="AE45" s="121">
        <f>AE43*0.0355</f>
        <v>1064.8027908259996</v>
      </c>
      <c r="AG45" s="358" t="s">
        <v>77</v>
      </c>
      <c r="AH45" s="359"/>
      <c r="AI45" s="359"/>
      <c r="AJ45" s="359"/>
      <c r="AK45" s="136">
        <f>AK44*0.2</f>
        <v>1.8646327105971823</v>
      </c>
      <c r="AM45" s="391" t="str">
        <f>IF(Configuration!$H$30="Dagen","Opgenomen Congé Synd.dagen:","Opgenomen Congé Synd.uren:")</f>
        <v>Opgenomen Congé Synd.uren:</v>
      </c>
      <c r="AN45" s="392"/>
      <c r="AO45" s="392"/>
      <c r="AP45" s="392"/>
      <c r="AQ45" s="469">
        <f>IF(Configuration!$H$30="Dagen",SUM(AD8:AD39)/Configuration!H41,SUM(AD8:AD39))</f>
        <v>0</v>
      </c>
      <c r="AR45" s="470"/>
      <c r="AV45" s="18" t="s">
        <v>3</v>
      </c>
      <c r="AW45" s="129">
        <f>IF(($R$41=AV45)*AND($R$42&lt;&gt;""),VLOOKUP($R$42,'Barèmes police'!$AO$40:$AP$66,2),0)</f>
        <v>0</v>
      </c>
    </row>
    <row r="46" spans="1:58" ht="12.75" customHeight="1" x14ac:dyDescent="0.2">
      <c r="B46" s="409" t="s">
        <v>254</v>
      </c>
      <c r="C46" s="410"/>
      <c r="D46" s="411"/>
      <c r="E46" s="461">
        <f>E42+E43+E44-E45</f>
        <v>34</v>
      </c>
      <c r="F46" s="462"/>
      <c r="G46" s="400">
        <f>G42+G43+G44-G45</f>
        <v>10.766666666666666</v>
      </c>
      <c r="H46" s="401"/>
      <c r="J46" s="236" t="s">
        <v>218</v>
      </c>
      <c r="K46" s="237"/>
      <c r="L46" s="238"/>
      <c r="M46" s="239">
        <f>IF(MINUTE(SUM(X8:X39))&gt;=30,SUM(X8:X39)+(TIME(1,0,0))-TIME(0,MINUTE(SUM(X8:X39)),0),SUM(X8:X39)-TIME(0,MINUTE(SUM(X8:X39)),0))</f>
        <v>0</v>
      </c>
      <c r="N46" s="237" t="s">
        <v>190</v>
      </c>
      <c r="O46" s="225"/>
      <c r="P46" s="225"/>
      <c r="Q46" s="225"/>
      <c r="R46" s="233"/>
      <c r="S46" s="242"/>
      <c r="T46" s="242"/>
      <c r="U46" s="242"/>
      <c r="V46" s="243"/>
      <c r="W46" s="234">
        <f>IF($R$3="Oui",M46*AK52*24,0)</f>
        <v>0</v>
      </c>
      <c r="X46" s="235" t="s">
        <v>55</v>
      </c>
      <c r="Y46" s="23"/>
      <c r="Z46" s="381">
        <f>AE48</f>
        <v>0.40380000000000005</v>
      </c>
      <c r="AA46" s="382"/>
      <c r="AB46" s="348" t="s">
        <v>69</v>
      </c>
      <c r="AC46" s="349"/>
      <c r="AD46" s="349"/>
      <c r="AE46" s="132">
        <f>AE43-AE44-AE45</f>
        <v>26680.058660273993</v>
      </c>
      <c r="AG46" s="348" t="s">
        <v>78</v>
      </c>
      <c r="AH46" s="349"/>
      <c r="AI46" s="349"/>
      <c r="AJ46" s="349"/>
      <c r="AK46" s="132">
        <f>AK44*0.35</f>
        <v>3.2631072435450683</v>
      </c>
      <c r="AM46" s="375" t="str">
        <f>IF(Configuration!$H$30="Dagen","Resterend aantal dagen:","Resterend aantal uren:")</f>
        <v>Resterend aantal uren:</v>
      </c>
      <c r="AN46" s="376"/>
      <c r="AO46" s="376"/>
      <c r="AP46" s="376"/>
      <c r="AQ46" s="366">
        <f>AQ44-AQ45</f>
        <v>99999</v>
      </c>
      <c r="AR46" s="367"/>
      <c r="AV46" s="18" t="s">
        <v>1</v>
      </c>
      <c r="AW46" s="129">
        <f>IF(($R$41=AV46)*AND($R$42&lt;&gt;""),VLOOKUP($R$42,'Barèmes police'!$T$40:$U$69,2),0)</f>
        <v>0</v>
      </c>
    </row>
    <row r="47" spans="1:58" ht="12.75" customHeight="1" x14ac:dyDescent="0.2">
      <c r="B47" s="23"/>
      <c r="C47" s="23"/>
      <c r="D47" s="23"/>
      <c r="E47" s="23"/>
      <c r="F47" s="23"/>
      <c r="G47" s="23"/>
      <c r="J47" s="236" t="s">
        <v>219</v>
      </c>
      <c r="K47" s="237"/>
      <c r="L47" s="238"/>
      <c r="M47" s="244">
        <f>COUNTIF($Q$8:$Q$38,"1")</f>
        <v>0</v>
      </c>
      <c r="N47" s="225"/>
      <c r="O47" s="362" t="s">
        <v>223</v>
      </c>
      <c r="P47" s="363"/>
      <c r="Q47" s="363"/>
      <c r="R47" s="245">
        <f>COUNTIF($Q$8:$Q$38,"2")</f>
        <v>0</v>
      </c>
      <c r="S47" s="354">
        <f>IF($R$2="Oui",(M47*AE52*Z42+(R47*Z42*2.48)),0)</f>
        <v>0</v>
      </c>
      <c r="T47" s="355"/>
      <c r="U47" s="355"/>
      <c r="V47" s="233" t="s">
        <v>55</v>
      </c>
      <c r="W47" s="234">
        <f>IF($R$3="Oui",(M47*AE52*Z42+(R47*AE52*6.2)),0)</f>
        <v>0</v>
      </c>
      <c r="X47" s="235" t="s">
        <v>55</v>
      </c>
      <c r="Y47" s="23"/>
      <c r="Z47" s="218"/>
      <c r="AA47" s="218"/>
      <c r="AV47" s="18" t="s">
        <v>0</v>
      </c>
      <c r="AW47" s="129">
        <f>IF(($R$41=AV47)*AND($R$42&lt;&gt;""),VLOOKUP($R$42,'Barèmes police'!$W$40:$X$69,2),0)</f>
        <v>0</v>
      </c>
    </row>
    <row r="48" spans="1:58" ht="12.75" customHeight="1" x14ac:dyDescent="0.2">
      <c r="B48" s="368" t="s">
        <v>206</v>
      </c>
      <c r="C48" s="369"/>
      <c r="D48" s="369"/>
      <c r="E48" s="369"/>
      <c r="F48" s="370" t="s">
        <v>180</v>
      </c>
      <c r="G48" s="371"/>
      <c r="J48" s="236" t="s">
        <v>220</v>
      </c>
      <c r="K48" s="237"/>
      <c r="L48" s="238"/>
      <c r="M48" s="244">
        <f>COUNTIF($R$8:$R$38,"1")</f>
        <v>0</v>
      </c>
      <c r="N48" s="225"/>
      <c r="O48" s="362" t="s">
        <v>224</v>
      </c>
      <c r="P48" s="363"/>
      <c r="Q48" s="363"/>
      <c r="R48" s="245">
        <f>COUNTIF($R$8:$R$38,"2")</f>
        <v>0</v>
      </c>
      <c r="S48" s="354">
        <f>IF($R$2="Oui",(M48*AE53*Z42+(R48*Z42*6.2)),0)</f>
        <v>0</v>
      </c>
      <c r="T48" s="355"/>
      <c r="U48" s="355"/>
      <c r="V48" s="233" t="s">
        <v>55</v>
      </c>
      <c r="W48" s="234">
        <f>IF($R$3="Oui",(M48*AE53*Z42+(R48*AE53*6.2)),0)</f>
        <v>0</v>
      </c>
      <c r="X48" s="235" t="s">
        <v>55</v>
      </c>
      <c r="Y48" s="23"/>
      <c r="Z48" s="383" t="s">
        <v>258</v>
      </c>
      <c r="AA48" s="384"/>
      <c r="AB48" s="352" t="s">
        <v>70</v>
      </c>
      <c r="AC48" s="353"/>
      <c r="AD48" s="353"/>
      <c r="AE48" s="134">
        <f>VLOOKUP(AE46,Systeemgegevens!C3:E14,3)/100</f>
        <v>0.40380000000000005</v>
      </c>
      <c r="AG48" s="352" t="s">
        <v>72</v>
      </c>
      <c r="AH48" s="353"/>
      <c r="AI48" s="353"/>
      <c r="AJ48" s="353"/>
      <c r="AK48" s="133">
        <f>X42*1.2434/1850</f>
        <v>8.5597067427027032</v>
      </c>
      <c r="AV48" s="18" t="s">
        <v>61</v>
      </c>
      <c r="AW48" s="129">
        <f>IF(($R$41=AV48)*AND($R$42&lt;&gt;""),VLOOKUP($R$42,'Barèmes police'!$BM$4:$BN$39,2),0)</f>
        <v>0</v>
      </c>
    </row>
    <row r="49" spans="2:49" ht="12.75" customHeight="1" x14ac:dyDescent="0.2">
      <c r="B49" s="17"/>
      <c r="F49" s="17"/>
      <c r="G49" s="17"/>
      <c r="J49" s="236" t="s">
        <v>221</v>
      </c>
      <c r="K49" s="237"/>
      <c r="L49" s="238"/>
      <c r="M49" s="244">
        <f>COUNTIF($S$8:$S$38, "1")</f>
        <v>0</v>
      </c>
      <c r="N49" s="225"/>
      <c r="O49" s="362" t="s">
        <v>225</v>
      </c>
      <c r="P49" s="363"/>
      <c r="Q49" s="363"/>
      <c r="R49" s="245">
        <f>COUNTIF($S$8:$S$38, "2")</f>
        <v>0</v>
      </c>
      <c r="S49" s="354">
        <f>IF($R$2="Oui",(M49*AE54*Z42+(R49*Z42*6.2)),0)</f>
        <v>0</v>
      </c>
      <c r="T49" s="355"/>
      <c r="U49" s="355"/>
      <c r="V49" s="233" t="s">
        <v>55</v>
      </c>
      <c r="W49" s="234">
        <f>IF($R$3="Oui",(M49*AE54*Z42+(R49*AE54*6.2)),0)</f>
        <v>0</v>
      </c>
      <c r="X49" s="235" t="s">
        <v>55</v>
      </c>
      <c r="Y49" s="23"/>
      <c r="Z49" s="364">
        <v>0.23</v>
      </c>
      <c r="AA49" s="365"/>
      <c r="AB49" s="348" t="s">
        <v>71</v>
      </c>
      <c r="AC49" s="349"/>
      <c r="AD49" s="349"/>
      <c r="AE49" s="135">
        <f>1-AE48</f>
        <v>0.59619999999999995</v>
      </c>
      <c r="AG49" s="358" t="s">
        <v>73</v>
      </c>
      <c r="AH49" s="359"/>
      <c r="AI49" s="359"/>
      <c r="AJ49" s="359"/>
      <c r="AK49" s="121">
        <f>AK48*0.9645*AE49*1.45</f>
        <v>7.1370886606880939</v>
      </c>
      <c r="AV49" s="18" t="s">
        <v>263</v>
      </c>
      <c r="AW49" s="218">
        <f>IF(($R$41=AV49)*AND($R$42&lt;&gt;""),VLOOKUP($R$42,'Barèmes police'!$AX$40:$AY$70,2),0)</f>
        <v>0</v>
      </c>
    </row>
    <row r="50" spans="2:49" ht="12.75" customHeight="1" x14ac:dyDescent="0.2">
      <c r="B50" s="372" t="s">
        <v>207</v>
      </c>
      <c r="C50" s="373"/>
      <c r="D50" s="373"/>
      <c r="E50" s="373"/>
      <c r="F50" s="373"/>
      <c r="G50" s="374"/>
      <c r="J50" s="236" t="s">
        <v>222</v>
      </c>
      <c r="K50" s="237"/>
      <c r="L50" s="238"/>
      <c r="M50" s="244">
        <f>COUNTIF($T$8:$T$38,"1")</f>
        <v>0</v>
      </c>
      <c r="N50" s="225"/>
      <c r="O50" s="362" t="s">
        <v>226</v>
      </c>
      <c r="P50" s="363"/>
      <c r="Q50" s="363"/>
      <c r="R50" s="245">
        <f>COUNTIF($T$8:$T$38,"2")</f>
        <v>0</v>
      </c>
      <c r="S50" s="354">
        <f>IF($R$2="Oui",(M50*AE55*Z42+(R50*Z42*3.48)),0)</f>
        <v>0</v>
      </c>
      <c r="T50" s="355"/>
      <c r="U50" s="355"/>
      <c r="V50" s="233" t="s">
        <v>55</v>
      </c>
      <c r="W50" s="234">
        <f>IF($R$3="Oui",(M50*AE55*Z42+(R50*AE55*6.2)),0)</f>
        <v>0</v>
      </c>
      <c r="X50" s="235" t="s">
        <v>55</v>
      </c>
      <c r="Y50" s="23"/>
      <c r="Z50" s="246"/>
      <c r="AA50" s="246"/>
      <c r="AB50" s="148"/>
      <c r="AC50" s="148"/>
      <c r="AD50" s="148"/>
      <c r="AE50" s="153"/>
      <c r="AG50" s="147"/>
      <c r="AH50" s="148"/>
      <c r="AI50" s="148"/>
      <c r="AJ50" s="148"/>
      <c r="AK50" s="121"/>
      <c r="AV50" s="18" t="s">
        <v>264</v>
      </c>
      <c r="AW50" s="218">
        <f>IF(($R$41=AV50)*AND($R$42&lt;&gt;""),VLOOKUP($R$42,'Barèmes police'!$BA$40:$BB$70,2),0)</f>
        <v>0</v>
      </c>
    </row>
    <row r="51" spans="2:49" ht="12.75" customHeight="1" x14ac:dyDescent="0.2">
      <c r="B51" s="395" t="s">
        <v>208</v>
      </c>
      <c r="C51" s="396"/>
      <c r="D51" s="396"/>
      <c r="E51" s="396"/>
      <c r="F51" s="151"/>
      <c r="G51" s="152"/>
      <c r="J51" s="236" t="s">
        <v>227</v>
      </c>
      <c r="K51" s="237"/>
      <c r="L51" s="238"/>
      <c r="M51" s="239">
        <f>IF(P38-F52&gt;=1/49,IF(AND(O38="+",F48="Oui"),IF(MINUTE(P38-F52)&gt;=30,P38-F52+(TIME(1,0,0))-TIME(0,MINUTE(P38-F52),0),P38-F52-TIME(0,MINUTE(P38-F52),0)),0),0)</f>
        <v>0</v>
      </c>
      <c r="N51" s="225" t="s">
        <v>190</v>
      </c>
      <c r="O51" s="360" t="s">
        <v>253</v>
      </c>
      <c r="P51" s="360"/>
      <c r="Q51" s="360"/>
      <c r="R51" s="361"/>
      <c r="S51" s="354">
        <f>IF($R$2="Oui",M51*AK44*24,0)</f>
        <v>0</v>
      </c>
      <c r="T51" s="355"/>
      <c r="U51" s="355"/>
      <c r="V51" s="233" t="s">
        <v>55</v>
      </c>
      <c r="W51" s="234">
        <f>IF($R$3="Oui",M51*AK51*24,0)</f>
        <v>0</v>
      </c>
      <c r="X51" s="235" t="s">
        <v>55</v>
      </c>
      <c r="Y51" s="23"/>
      <c r="Z51" s="246"/>
      <c r="AA51" s="246"/>
      <c r="AG51" s="358" t="s">
        <v>74</v>
      </c>
      <c r="AH51" s="359"/>
      <c r="AI51" s="359"/>
      <c r="AJ51" s="359"/>
      <c r="AK51" s="121">
        <f>(W42*1.2434/1850)*0.9645*AE49</f>
        <v>5.1824281750374874</v>
      </c>
      <c r="AV51" s="18" t="s">
        <v>265</v>
      </c>
      <c r="AW51" s="218">
        <f>IF(($R$41=AV51)*AND($R$42&lt;&gt;""),VLOOKUP($R$42,'Barèmes police'!$BD$40:$BE$70,2),0)</f>
        <v>0</v>
      </c>
    </row>
    <row r="52" spans="2:49" ht="12.75" customHeight="1" x14ac:dyDescent="0.2">
      <c r="B52" s="385" t="s">
        <v>209</v>
      </c>
      <c r="C52" s="386"/>
      <c r="D52" s="386"/>
      <c r="E52" s="386"/>
      <c r="F52" s="356">
        <v>0</v>
      </c>
      <c r="G52" s="357"/>
      <c r="J52" s="236" t="s">
        <v>228</v>
      </c>
      <c r="K52" s="237"/>
      <c r="L52" s="238"/>
      <c r="M52" s="247">
        <f>SUM(AT8:AT39)</f>
        <v>0</v>
      </c>
      <c r="N52" s="225" t="s">
        <v>214</v>
      </c>
      <c r="O52" s="360"/>
      <c r="P52" s="360"/>
      <c r="Q52" s="360"/>
      <c r="R52" s="361"/>
      <c r="S52" s="354">
        <f>IF($R$2="Oui",M52*6.7*Z42,0)</f>
        <v>0</v>
      </c>
      <c r="T52" s="355"/>
      <c r="U52" s="355"/>
      <c r="V52" s="233" t="s">
        <v>55</v>
      </c>
      <c r="W52" s="234">
        <f>IF($R$3="Oui",M52*6.7*Z42,0)</f>
        <v>0</v>
      </c>
      <c r="X52" s="235" t="s">
        <v>55</v>
      </c>
      <c r="Y52" s="23"/>
      <c r="Z52" s="246"/>
      <c r="AA52" s="246"/>
      <c r="AB52" s="352" t="s">
        <v>79</v>
      </c>
      <c r="AC52" s="353"/>
      <c r="AD52" s="353"/>
      <c r="AE52" s="133">
        <v>1.24</v>
      </c>
      <c r="AG52" s="348" t="s">
        <v>76</v>
      </c>
      <c r="AH52" s="349"/>
      <c r="AI52" s="349"/>
      <c r="AJ52" s="349"/>
      <c r="AK52" s="131">
        <f>AK48*0.325*0.9645*AE49</f>
        <v>1.5996922860162968</v>
      </c>
      <c r="AV52" s="18" t="s">
        <v>266</v>
      </c>
      <c r="AW52" s="218">
        <f>IF(($R$41=AV52)*AND($R$42&lt;&gt;""),VLOOKUP($R$42,'Barèmes police'!$BG$40:$BH$70,2),0)</f>
        <v>0</v>
      </c>
    </row>
    <row r="53" spans="2:49" ht="12.75" customHeight="1" x14ac:dyDescent="0.2">
      <c r="B53" s="387" t="s">
        <v>210</v>
      </c>
      <c r="C53" s="388"/>
      <c r="D53" s="388"/>
      <c r="E53" s="388"/>
      <c r="F53" s="350">
        <v>0</v>
      </c>
      <c r="G53" s="351"/>
      <c r="J53" s="236" t="s">
        <v>229</v>
      </c>
      <c r="K53" s="237"/>
      <c r="L53" s="238"/>
      <c r="M53" s="244">
        <f>SUM(Y8:Y39)</f>
        <v>0</v>
      </c>
      <c r="N53" s="237" t="s">
        <v>56</v>
      </c>
      <c r="O53" s="248"/>
      <c r="P53" s="248"/>
      <c r="Q53" s="248"/>
      <c r="R53" s="249"/>
      <c r="S53" s="354">
        <f>IF($R$2="Oui",M53*Z49,0)</f>
        <v>0</v>
      </c>
      <c r="T53" s="355"/>
      <c r="U53" s="355"/>
      <c r="V53" s="233" t="s">
        <v>55</v>
      </c>
      <c r="W53" s="234">
        <f>IF($R$3="Oui",M53*Z49,0)</f>
        <v>0</v>
      </c>
      <c r="X53" s="235" t="s">
        <v>55</v>
      </c>
      <c r="Y53" s="23"/>
      <c r="Z53" s="246"/>
      <c r="AA53" s="246"/>
      <c r="AB53" s="358" t="s">
        <v>80</v>
      </c>
      <c r="AC53" s="359"/>
      <c r="AD53" s="359"/>
      <c r="AE53" s="121">
        <v>2.48</v>
      </c>
    </row>
    <row r="54" spans="2:49" ht="12.75" customHeight="1" x14ac:dyDescent="0.2">
      <c r="J54" s="236" t="s">
        <v>244</v>
      </c>
      <c r="K54" s="237"/>
      <c r="L54" s="238"/>
      <c r="M54" s="239">
        <f>IF(MINUTE(SUM(Z8:Z39))&gt;=30,SUM(Z8:Z39)+(TIME(1,0,0))-TIME(0,MINUTE(SUM(Z8:Z39)),0),SUM(Z8:Z39)-TIME(0,MINUTE(SUM(Z8:Z39)),0))</f>
        <v>0</v>
      </c>
      <c r="N54" s="237" t="s">
        <v>190</v>
      </c>
      <c r="O54" s="248"/>
      <c r="P54" s="248"/>
      <c r="Q54" s="248"/>
      <c r="R54" s="249"/>
      <c r="S54" s="354">
        <f>IF($R$2="Oui",M54*AK54*24,0)</f>
        <v>0</v>
      </c>
      <c r="T54" s="355"/>
      <c r="U54" s="355"/>
      <c r="V54" s="233" t="s">
        <v>55</v>
      </c>
      <c r="W54" s="234">
        <f>IF($R$3="Oui",M54*AK54*24,0)</f>
        <v>0</v>
      </c>
      <c r="X54" s="235" t="s">
        <v>55</v>
      </c>
      <c r="Y54" s="23"/>
      <c r="Z54" s="246"/>
      <c r="AA54" s="246"/>
      <c r="AB54" s="358" t="s">
        <v>81</v>
      </c>
      <c r="AC54" s="359"/>
      <c r="AD54" s="359"/>
      <c r="AE54" s="121">
        <v>2.48</v>
      </c>
      <c r="AG54" s="352" t="s">
        <v>83</v>
      </c>
      <c r="AH54" s="353"/>
      <c r="AI54" s="353"/>
      <c r="AJ54" s="353"/>
      <c r="AK54" s="130">
        <f>AK44/24</f>
        <v>0.38846514804107962</v>
      </c>
    </row>
    <row r="55" spans="2:49" ht="12.75" customHeight="1" x14ac:dyDescent="0.2">
      <c r="J55" s="236" t="s">
        <v>230</v>
      </c>
      <c r="K55" s="237"/>
      <c r="L55" s="238"/>
      <c r="M55" s="239">
        <f>IF(MINUTE(SUM(AA8:AA39))&gt;=30,SUM(AA8:AA39)+(TIME(1,0,0))-TIME(0,MINUTE(SUM(AA8:AA39)),0),SUM(AA8:AA39)-TIME(0,MINUTE(SUM(AA8:AA39)),0))</f>
        <v>0</v>
      </c>
      <c r="N55" s="237" t="s">
        <v>190</v>
      </c>
      <c r="O55" s="248"/>
      <c r="P55" s="248"/>
      <c r="Q55" s="248"/>
      <c r="R55" s="249"/>
      <c r="S55" s="354">
        <f>IF($R$2="Oui",M55*AK55*24,0)</f>
        <v>0</v>
      </c>
      <c r="T55" s="355"/>
      <c r="U55" s="355"/>
      <c r="V55" s="233" t="s">
        <v>55</v>
      </c>
      <c r="W55" s="234">
        <f>IF($R$3="Oui",M55*AK55*24,0)</f>
        <v>0</v>
      </c>
      <c r="X55" s="235" t="s">
        <v>55</v>
      </c>
      <c r="Y55" s="23"/>
      <c r="Z55" s="246"/>
      <c r="AA55" s="246"/>
      <c r="AB55" s="348" t="s">
        <v>82</v>
      </c>
      <c r="AC55" s="349"/>
      <c r="AD55" s="349"/>
      <c r="AE55" s="131">
        <v>1.74</v>
      </c>
      <c r="AG55" s="348" t="s">
        <v>84</v>
      </c>
      <c r="AH55" s="349"/>
      <c r="AI55" s="349"/>
      <c r="AJ55" s="349"/>
      <c r="AK55" s="132">
        <f>AK44/15</f>
        <v>0.62154423686572735</v>
      </c>
    </row>
    <row r="56" spans="2:49" ht="12.75" customHeight="1" x14ac:dyDescent="0.2">
      <c r="J56" s="223" t="s">
        <v>57</v>
      </c>
      <c r="K56" s="224"/>
      <c r="L56" s="250"/>
      <c r="M56" s="251">
        <f>SUM(AS8:AS39)</f>
        <v>0</v>
      </c>
      <c r="N56" s="225" t="s">
        <v>214</v>
      </c>
      <c r="O56" s="252"/>
      <c r="P56" s="252"/>
      <c r="Q56" s="252"/>
      <c r="R56" s="253"/>
      <c r="S56" s="471">
        <f>IF($R$2="Oui",M56*2.81*Z42*AE49,0)</f>
        <v>0</v>
      </c>
      <c r="T56" s="472"/>
      <c r="U56" s="472"/>
      <c r="V56" s="233" t="s">
        <v>55</v>
      </c>
      <c r="W56" s="234">
        <f>IF($R$3="Oui",M56*2.81*Z42*AE49,0)</f>
        <v>0</v>
      </c>
      <c r="X56" s="235" t="s">
        <v>55</v>
      </c>
      <c r="Y56" s="23"/>
      <c r="Z56" s="246"/>
      <c r="AA56" s="246"/>
    </row>
    <row r="57" spans="2:49" ht="12.75" customHeight="1" x14ac:dyDescent="0.2">
      <c r="J57" s="254"/>
      <c r="K57" s="254"/>
      <c r="L57" s="24"/>
      <c r="M57" s="255"/>
      <c r="N57" s="256"/>
      <c r="O57" s="257"/>
      <c r="P57" s="23"/>
      <c r="Q57" s="258"/>
      <c r="R57" s="259" t="s">
        <v>262</v>
      </c>
      <c r="S57" s="473">
        <f>IF($R$2="Oui",SUM(S43:U56),0)</f>
        <v>0</v>
      </c>
      <c r="T57" s="474"/>
      <c r="U57" s="474"/>
      <c r="V57" s="260" t="s">
        <v>55</v>
      </c>
      <c r="W57" s="261">
        <f>IF($R$3="Oui",SUM(W43:W56),0)</f>
        <v>0</v>
      </c>
      <c r="X57" s="262" t="s">
        <v>55</v>
      </c>
      <c r="Y57" s="23"/>
      <c r="Z57" s="246"/>
      <c r="AA57" s="246"/>
    </row>
    <row r="58" spans="2:49" ht="12.75" customHeight="1" x14ac:dyDescent="0.2">
      <c r="Y58" s="17"/>
      <c r="AB58" s="448" t="s">
        <v>164</v>
      </c>
      <c r="AC58" s="449"/>
      <c r="AD58" s="450"/>
    </row>
    <row r="59" spans="2:49" ht="12.75" customHeight="1" x14ac:dyDescent="0.2">
      <c r="AB59" s="451">
        <f>Configuration!$H$30</f>
        <v>0</v>
      </c>
      <c r="AC59" s="452"/>
      <c r="AD59" s="453"/>
    </row>
    <row r="70" spans="48:49" ht="12.75" customHeight="1" x14ac:dyDescent="0.2">
      <c r="AV70" s="141" t="s">
        <v>270</v>
      </c>
      <c r="AW70" s="290">
        <f>IF(($R$41=AV70)*AND($R$42&lt;&gt;""),VLOOKUP($R$42,'Barèmes CALOG'!$B$4:$C$34,2),0)</f>
        <v>0</v>
      </c>
    </row>
    <row r="71" spans="48:49" ht="12.75" customHeight="1" x14ac:dyDescent="0.2">
      <c r="AV71" s="141" t="s">
        <v>271</v>
      </c>
      <c r="AW71" s="290">
        <f>IF(($R$41=AV71)*AND($R$42&lt;&gt;""),VLOOKUP($R$42,'Barèmes CALOG'!$E$4:$F$34,2),0)</f>
        <v>0</v>
      </c>
    </row>
    <row r="72" spans="48:49" ht="12.75" customHeight="1" x14ac:dyDescent="0.2">
      <c r="AV72" s="141" t="s">
        <v>272</v>
      </c>
      <c r="AW72" s="290">
        <f>IF(($R$41=AV72)*AND($R$42&lt;&gt;""),VLOOKUP($R$42,'Barèmes CALOG'!$H$4:$I$34,2),0)</f>
        <v>0</v>
      </c>
    </row>
    <row r="73" spans="48:49" ht="12.75" customHeight="1" x14ac:dyDescent="0.2">
      <c r="AV73" s="141" t="s">
        <v>273</v>
      </c>
      <c r="AW73" s="290">
        <f>IF(($R$41=AV73)*AND($R$42&lt;&gt;""),VLOOKUP($R$42,'Barèmes CALOG'!$K$4:$L$34,2),0)</f>
        <v>0</v>
      </c>
    </row>
    <row r="74" spans="48:49" ht="12.75" customHeight="1" x14ac:dyDescent="0.2">
      <c r="AV74" s="141" t="s">
        <v>274</v>
      </c>
      <c r="AW74" s="290">
        <f>IF(($R$41=AV74)*AND($R$42&lt;&gt;""),VLOOKUP($R$42,'Barèmes CALOG'!$N$4:$O$34,2),0)</f>
        <v>0</v>
      </c>
    </row>
    <row r="75" spans="48:49" ht="12.75" customHeight="1" x14ac:dyDescent="0.2">
      <c r="AV75" s="141" t="s">
        <v>275</v>
      </c>
      <c r="AW75" s="290">
        <f>IF(($R$41=AV75)*AND($R$42&lt;&gt;""),VLOOKUP($R$42,'Barèmes CALOG'!$Q$4:$R$34,2),0)</f>
        <v>0</v>
      </c>
    </row>
    <row r="76" spans="48:49" ht="12.75" customHeight="1" x14ac:dyDescent="0.2">
      <c r="AV76" s="141" t="s">
        <v>276</v>
      </c>
      <c r="AW76" s="290">
        <f>IF(($R$41=AV76)*AND($R$42&lt;&gt;""),VLOOKUP($R$42,'Barèmes CALOG'!$T$4:$U$34,2),0)</f>
        <v>0</v>
      </c>
    </row>
    <row r="77" spans="48:49" ht="12.75" customHeight="1" x14ac:dyDescent="0.2">
      <c r="AV77" s="141" t="s">
        <v>277</v>
      </c>
      <c r="AW77" s="290">
        <f>IF(($R$41=AV77)*AND($R$42&lt;&gt;""),VLOOKUP($R$42,'Barèmes CALOG'!$W$4:$X$34,2),0)</f>
        <v>0</v>
      </c>
    </row>
    <row r="78" spans="48:49" ht="12.75" customHeight="1" x14ac:dyDescent="0.2">
      <c r="AV78" s="141" t="s">
        <v>278</v>
      </c>
      <c r="AW78" s="290">
        <f>IF(($R$41=AV78)*AND($R$42&lt;&gt;""),VLOOKUP($R$42,'Barèmes CALOG'!$Z$4:$AA$34,2),0)</f>
        <v>0</v>
      </c>
    </row>
    <row r="79" spans="48:49" ht="12.75" customHeight="1" x14ac:dyDescent="0.2">
      <c r="AV79" s="141" t="s">
        <v>279</v>
      </c>
      <c r="AW79" s="290">
        <f>IF(($R$41=AV79)*AND($R$42&lt;&gt;""),VLOOKUP($R$42,'Barèmes CALOG'!$AC$4:$AD$34,2),0)</f>
        <v>0</v>
      </c>
    </row>
    <row r="80" spans="48:49" ht="12.75" customHeight="1" x14ac:dyDescent="0.2">
      <c r="AV80" s="141" t="s">
        <v>280</v>
      </c>
      <c r="AW80" s="290">
        <f>IF(($R$41=AV80)*AND($R$42&lt;&gt;""),VLOOKUP($R$42,'Barèmes CALOG'!$AF$4:$AG$34,2),0)</f>
        <v>0</v>
      </c>
    </row>
    <row r="81" spans="48:49" ht="12.75" customHeight="1" x14ac:dyDescent="0.2">
      <c r="AV81" s="141" t="s">
        <v>281</v>
      </c>
      <c r="AW81" s="290">
        <f>IF(($R$41=AV81)*AND($R$42&lt;&gt;""),VLOOKUP($R$42,'Barèmes CALOG'!$AI$4:$AJ$34,2),0)</f>
        <v>0</v>
      </c>
    </row>
    <row r="82" spans="48:49" ht="12.75" customHeight="1" x14ac:dyDescent="0.2">
      <c r="AV82" s="141" t="s">
        <v>282</v>
      </c>
      <c r="AW82" s="290">
        <f>IF(($R$41=AV82)*AND($R$42&lt;&gt;""),VLOOKUP($R$42,'Barèmes CALOG'!$AL$4:$AM$34,2),0)</f>
        <v>0</v>
      </c>
    </row>
    <row r="83" spans="48:49" ht="12.75" customHeight="1" x14ac:dyDescent="0.2">
      <c r="AV83" s="141" t="s">
        <v>283</v>
      </c>
      <c r="AW83" s="290">
        <f>IF(($R$41=AV83)*AND($R$42&lt;&gt;""),VLOOKUP($R$42,'Barèmes CALOG'!$AO$4:$AP$34,2),0)</f>
        <v>0</v>
      </c>
    </row>
    <row r="84" spans="48:49" ht="12.75" customHeight="1" x14ac:dyDescent="0.2">
      <c r="AV84" s="141" t="s">
        <v>284</v>
      </c>
      <c r="AW84" s="290">
        <f>IF(($R$41=AV84)*AND($R$42&lt;&gt;""),VLOOKUP($R$42,'Barèmes CALOG'!$AR$4:$AS$34,2),0)</f>
        <v>0</v>
      </c>
    </row>
    <row r="85" spans="48:49" ht="12.75" customHeight="1" x14ac:dyDescent="0.2">
      <c r="AV85" s="141" t="s">
        <v>285</v>
      </c>
      <c r="AW85" s="290">
        <f>IF(($R$41=AV85)*AND($R$42&lt;&gt;""),VLOOKUP($R$42,'Barèmes CALOG'!$AU$4:$AV$34,2),0)</f>
        <v>0</v>
      </c>
    </row>
    <row r="86" spans="48:49" ht="12.75" customHeight="1" x14ac:dyDescent="0.2">
      <c r="AV86" s="141" t="s">
        <v>286</v>
      </c>
      <c r="AW86" s="290">
        <f>IF(($R$41=AV86)*AND($R$42&lt;&gt;""),VLOOKUP($R$42,'Barèmes CALOG'!$AX$4:$AY$34,2),0)</f>
        <v>0</v>
      </c>
    </row>
    <row r="87" spans="48:49" ht="12.75" customHeight="1" x14ac:dyDescent="0.2">
      <c r="AV87" s="141" t="s">
        <v>287</v>
      </c>
      <c r="AW87" s="290">
        <f>IF(($R$41=AV87)*AND($R$42&lt;&gt;""),VLOOKUP($R$42,'Barèmes CALOG'!$BA$4:$BB$34,2),0)</f>
        <v>0</v>
      </c>
    </row>
    <row r="88" spans="48:49" ht="12.75" customHeight="1" x14ac:dyDescent="0.2">
      <c r="AV88" s="141" t="s">
        <v>288</v>
      </c>
      <c r="AW88" s="290">
        <f>IF(($R$41=AV88)*AND($R$42&lt;&gt;""),VLOOKUP($R$42,'Barèmes CALOG'!$BD$4:$BE$34,2),0)</f>
        <v>0</v>
      </c>
    </row>
    <row r="89" spans="48:49" ht="12.75" customHeight="1" x14ac:dyDescent="0.2">
      <c r="AV89" s="141" t="s">
        <v>289</v>
      </c>
      <c r="AW89" s="290">
        <f>IF(($R$41=AV89)*AND($R$42&lt;&gt;""),VLOOKUP($R$42,'Barèmes CALOG'!$BG$4:$BH$34,2),0)</f>
        <v>0</v>
      </c>
    </row>
    <row r="90" spans="48:49" ht="12.75" customHeight="1" x14ac:dyDescent="0.2">
      <c r="AV90" s="141" t="s">
        <v>290</v>
      </c>
      <c r="AW90" s="290">
        <f>IF(($R$41=AV90)*AND($R$42&lt;&gt;""),VLOOKUP($R$42,'Barèmes CALOG'!$BJ$4:$BK$34,2),0)</f>
        <v>0</v>
      </c>
    </row>
    <row r="91" spans="48:49" ht="12.75" customHeight="1" x14ac:dyDescent="0.2">
      <c r="AV91" s="141" t="s">
        <v>291</v>
      </c>
      <c r="AW91" s="290">
        <f>IF(($R$41=AV91)*AND($R$42&lt;&gt;""),VLOOKUP($R$42,'Barèmes CALOG'!$BM$4:$BN$34,2),0)</f>
        <v>0</v>
      </c>
    </row>
    <row r="92" spans="48:49" ht="12.75" customHeight="1" x14ac:dyDescent="0.2">
      <c r="AV92" s="141" t="s">
        <v>292</v>
      </c>
      <c r="AW92" s="290">
        <f>IF(($R$41=AV92)*AND($R$42&lt;&gt;""),VLOOKUP($R$42,'Barèmes CALOG'!$BP$4:$BQ$34,2),0)</f>
        <v>0</v>
      </c>
    </row>
    <row r="93" spans="48:49" ht="12.75" customHeight="1" x14ac:dyDescent="0.2">
      <c r="AV93" s="141" t="s">
        <v>293</v>
      </c>
      <c r="AW93" s="290">
        <f>IF(($R$41=AV93)*AND($R$42&lt;&gt;""),VLOOKUP($R$42,'Barèmes CALOG'!$BS$4:$BT$34,2),0)</f>
        <v>0</v>
      </c>
    </row>
    <row r="94" spans="48:49" ht="12.75" customHeight="1" x14ac:dyDescent="0.2">
      <c r="AV94" s="141" t="s">
        <v>294</v>
      </c>
      <c r="AW94" s="290">
        <f>IF(($R$41=AV94)*AND($R$42&lt;&gt;""),VLOOKUP($R$42,'Barèmes CALOG'!$BV$4:$BW$34,2),0)</f>
        <v>0</v>
      </c>
    </row>
    <row r="95" spans="48:49" ht="12.75" customHeight="1" x14ac:dyDescent="0.2">
      <c r="AV95" s="141" t="s">
        <v>295</v>
      </c>
      <c r="AW95" s="290">
        <f>IF(($R$41=AV95)*AND($R$42&lt;&gt;""),VLOOKUP($R$42,'Barèmes CALOG'!$BY$4:$BZ$34,2),0)</f>
        <v>0</v>
      </c>
    </row>
    <row r="96" spans="48:49" ht="12.75" customHeight="1" x14ac:dyDescent="0.2">
      <c r="AV96" s="141" t="s">
        <v>296</v>
      </c>
      <c r="AW96" s="290">
        <f>IF(($R$41=AV96)*AND($R$42&lt;&gt;""),VLOOKUP($R$42,'Barèmes CALOG'!$CB$4:$CC$34,2),0)</f>
        <v>0</v>
      </c>
    </row>
    <row r="97" spans="48:49" ht="12.75" customHeight="1" x14ac:dyDescent="0.2">
      <c r="AV97" s="141" t="s">
        <v>297</v>
      </c>
      <c r="AW97" s="290">
        <f>IF(($R$41=AV97)*AND($R$42&lt;&gt;""),VLOOKUP($R$42,'Barèmes CALOG'!$CE$4:$CF$34,2),0)</f>
        <v>0</v>
      </c>
    </row>
    <row r="98" spans="48:49" ht="12.75" customHeight="1" x14ac:dyDescent="0.2">
      <c r="AV98" s="141" t="s">
        <v>298</v>
      </c>
      <c r="AW98" s="290">
        <f>IF(($R$41=AV98)*AND($R$42&lt;&gt;""),VLOOKUP($R$42,'Barèmes CALOG'!$CH$4:$CI$34,2),0)</f>
        <v>0</v>
      </c>
    </row>
    <row r="99" spans="48:49" ht="12.75" customHeight="1" x14ac:dyDescent="0.2">
      <c r="AV99" s="141" t="s">
        <v>299</v>
      </c>
      <c r="AW99" s="290">
        <f>IF(($R$41=AV99)*AND($R$42&lt;&gt;""),VLOOKUP($R$42,'Barèmes CALOG'!$CK$4:$CL$34,2),0)</f>
        <v>0</v>
      </c>
    </row>
    <row r="100" spans="48:49" ht="12.75" customHeight="1" x14ac:dyDescent="0.2">
      <c r="AV100" s="141" t="s">
        <v>300</v>
      </c>
      <c r="AW100" s="290">
        <f>IF(($R$41=AV100)*AND($R$42&lt;&gt;""),VLOOKUP($R$42,'Barèmes CALOG'!$CN$4:$CO$34,2),0)</f>
        <v>0</v>
      </c>
    </row>
    <row r="101" spans="48:49" ht="12.75" customHeight="1" x14ac:dyDescent="0.2">
      <c r="AV101" s="141" t="s">
        <v>301</v>
      </c>
      <c r="AW101" s="290">
        <f>IF(($R$41=AV101)*AND($R$42&lt;&gt;""),VLOOKUP($R$42,'Barèmes CALOG'!$CQ$4:$CR$34,2),0)</f>
        <v>0</v>
      </c>
    </row>
    <row r="102" spans="48:49" ht="12.75" customHeight="1" x14ac:dyDescent="0.2">
      <c r="AV102" s="141" t="s">
        <v>302</v>
      </c>
      <c r="AW102" s="290">
        <f>IF(($R$41=AV102)*AND($R$42&lt;&gt;""),VLOOKUP($R$42,'Barèmes CALOG'!$CT$4:$CU$34,2),0)</f>
        <v>0</v>
      </c>
    </row>
    <row r="103" spans="48:49" ht="12.75" customHeight="1" x14ac:dyDescent="0.2">
      <c r="AV103" s="141" t="s">
        <v>303</v>
      </c>
      <c r="AW103" s="290">
        <f>IF(($R$41=AV103)*AND($R$42&lt;&gt;""),VLOOKUP($R$42,'Barèmes CALOG'!$CW$4:$CX$34,2),0)</f>
        <v>0</v>
      </c>
    </row>
    <row r="104" spans="48:49" ht="12.75" customHeight="1" x14ac:dyDescent="0.2">
      <c r="AV104" s="141" t="s">
        <v>304</v>
      </c>
      <c r="AW104" s="290">
        <f>IF(($R$41=AV104)*AND($R$42&lt;&gt;""),VLOOKUP($R$42,'Barèmes CALOG'!$B$40:$C$70,2),0)</f>
        <v>0</v>
      </c>
    </row>
    <row r="105" spans="48:49" ht="12.75" customHeight="1" x14ac:dyDescent="0.2">
      <c r="AV105" s="141" t="s">
        <v>305</v>
      </c>
      <c r="AW105" s="290">
        <f>IF(($R$41=AV105)*AND($R$42&lt;&gt;""),VLOOKUP($R$42,'Barèmes CALOG'!$E$40:$F$70,2),0)</f>
        <v>0</v>
      </c>
    </row>
    <row r="106" spans="48:49" ht="12.75" customHeight="1" x14ac:dyDescent="0.2">
      <c r="AV106" s="141" t="s">
        <v>306</v>
      </c>
      <c r="AW106" s="290">
        <f>IF(($R$41=AV106)*AND($R$42&lt;&gt;""),VLOOKUP($R$42,'Barèmes CALOG'!$H$40:$I$70,2),0)</f>
        <v>0</v>
      </c>
    </row>
    <row r="107" spans="48:49" ht="12.75" customHeight="1" x14ac:dyDescent="0.2">
      <c r="AV107" s="141" t="s">
        <v>307</v>
      </c>
      <c r="AW107" s="290">
        <f>IF(($R$41=AV107)*AND($R$42&lt;&gt;""),VLOOKUP($R$42,'Barèmes CALOG'!$K$40:$L$70,2),0)</f>
        <v>0</v>
      </c>
    </row>
    <row r="108" spans="48:49" ht="12.75" customHeight="1" x14ac:dyDescent="0.2">
      <c r="AV108" s="141" t="s">
        <v>308</v>
      </c>
      <c r="AW108" s="290">
        <f>IF(($R$41=AV108)*AND($R$42&lt;&gt;""),VLOOKUP($R$42,'Barèmes CALOG'!$N$40:$O$70,2),0)</f>
        <v>0</v>
      </c>
    </row>
    <row r="109" spans="48:49" ht="12.75" customHeight="1" x14ac:dyDescent="0.2">
      <c r="AV109" s="141" t="s">
        <v>309</v>
      </c>
      <c r="AW109" s="290">
        <f>IF(($R$41=AV109)*AND($R$42&lt;&gt;""),VLOOKUP($R$42,'Barèmes CALOG'!$Q$40:$R$70,2),0)</f>
        <v>0</v>
      </c>
    </row>
    <row r="110" spans="48:49" ht="12.75" customHeight="1" x14ac:dyDescent="0.2">
      <c r="AV110" s="141" t="s">
        <v>310</v>
      </c>
      <c r="AW110" s="290">
        <f>IF(($R$41=AV110)*AND($R$42&lt;&gt;""),VLOOKUP($R$42,'Barèmes CALOG'!$T$40:$U$70,2),0)</f>
        <v>0</v>
      </c>
    </row>
    <row r="111" spans="48:49" ht="12.75" customHeight="1" x14ac:dyDescent="0.2">
      <c r="AV111" s="141" t="s">
        <v>311</v>
      </c>
      <c r="AW111" s="290">
        <f>IF(($R$41=AV111)*AND($R$42&lt;&gt;""),VLOOKUP($R$42,'Barèmes CALOG'!$W$40:$X$70,2),0)</f>
        <v>0</v>
      </c>
    </row>
    <row r="112" spans="48:49" ht="12.75" customHeight="1" x14ac:dyDescent="0.2">
      <c r="AV112" s="141" t="s">
        <v>312</v>
      </c>
      <c r="AW112" s="290">
        <f>IF(($R$41=AV112)*AND($R$42&lt;&gt;""),VLOOKUP($R$42,'Barèmes CALOG'!$Z$40:$AA$70,2),0)</f>
        <v>0</v>
      </c>
    </row>
    <row r="113" spans="48:49" ht="12.75" customHeight="1" x14ac:dyDescent="0.2">
      <c r="AV113" s="141" t="s">
        <v>313</v>
      </c>
      <c r="AW113" s="290">
        <f>IF(($R$41=AV113)*AND($R$42&lt;&gt;""),VLOOKUP($R$42,'Barèmes CALOG'!$AC$40:$AD$70,2),0)</f>
        <v>0</v>
      </c>
    </row>
    <row r="114" spans="48:49" ht="12.75" customHeight="1" x14ac:dyDescent="0.2">
      <c r="AV114" s="141" t="s">
        <v>314</v>
      </c>
      <c r="AW114" s="290">
        <f>IF(($R$41=AV114)*AND($R$42&lt;&gt;""),VLOOKUP($R$42,'Barèmes CALOG'!$AF$40:$AG$70,2),0)</f>
        <v>0</v>
      </c>
    </row>
    <row r="115" spans="48:49" ht="12.75" customHeight="1" x14ac:dyDescent="0.2">
      <c r="AV115" s="141" t="s">
        <v>315</v>
      </c>
      <c r="AW115" s="290">
        <f>IF(($R$41=AV115)*AND($R$42&lt;&gt;""),VLOOKUP($R$42,'Barèmes CALOG'!$AI$40:$AJ$70,2),0)</f>
        <v>0</v>
      </c>
    </row>
    <row r="116" spans="48:49" ht="12.75" customHeight="1" x14ac:dyDescent="0.2">
      <c r="AV116" s="141" t="s">
        <v>316</v>
      </c>
      <c r="AW116" s="290">
        <f>IF(($R$41=AV116)*AND($R$42&lt;&gt;""),VLOOKUP($R$42,'Barèmes CALOG'!$AL$40:$AM$70,2),0)</f>
        <v>0</v>
      </c>
    </row>
    <row r="117" spans="48:49" ht="12.75" customHeight="1" x14ac:dyDescent="0.2">
      <c r="AV117" s="141" t="s">
        <v>317</v>
      </c>
      <c r="AW117" s="290">
        <f>IF(($R$41=AV117)*AND($R$42&lt;&gt;""),VLOOKUP($R$42,'Barèmes CALOG'!$AO$40:$AP$70,2),0)</f>
        <v>0</v>
      </c>
    </row>
    <row r="118" spans="48:49" ht="12.75" customHeight="1" x14ac:dyDescent="0.2">
      <c r="AV118" s="141" t="s">
        <v>318</v>
      </c>
      <c r="AW118" s="290">
        <f>IF(($R$41=AV118)*AND($R$42&lt;&gt;""),VLOOKUP($R$42,'Barèmes CALOG'!$AR$40:$AS$70,2),0)</f>
        <v>0</v>
      </c>
    </row>
    <row r="119" spans="48:49" ht="12.75" customHeight="1" x14ac:dyDescent="0.2">
      <c r="AV119" s="141" t="s">
        <v>319</v>
      </c>
      <c r="AW119" s="290">
        <f>IF(($R$41=AV119)*AND($R$42&lt;&gt;""),VLOOKUP($R$42,'Barèmes CALOG'!$AU$40:$AV$70,2),0)</f>
        <v>0</v>
      </c>
    </row>
    <row r="120" spans="48:49" ht="12.75" customHeight="1" x14ac:dyDescent="0.2">
      <c r="AV120" s="141" t="s">
        <v>320</v>
      </c>
      <c r="AW120" s="290">
        <f>IF(($R$41=AV120)*AND($R$42&lt;&gt;""),VLOOKUP($R$42,'Barèmes CALOG'!$AX$40:$AY$70,2),0)</f>
        <v>0</v>
      </c>
    </row>
    <row r="121" spans="48:49" ht="12.75" customHeight="1" x14ac:dyDescent="0.2">
      <c r="AV121" s="141" t="s">
        <v>321</v>
      </c>
      <c r="AW121" s="290">
        <f>IF(($R$41=AV121)*AND($R$42&lt;&gt;""),VLOOKUP($R$42,'Barèmes CALOG'!$BA$40:$BB$70,2),0)</f>
        <v>0</v>
      </c>
    </row>
    <row r="122" spans="48:49" ht="12.75" customHeight="1" x14ac:dyDescent="0.2">
      <c r="AV122" s="141" t="s">
        <v>322</v>
      </c>
      <c r="AW122" s="290">
        <f>IF(($R$41=AV122)*AND($R$42&lt;&gt;""),VLOOKUP($R$42,'Barèmes CALOG'!$BD$40:$BE$70,2),0)</f>
        <v>0</v>
      </c>
    </row>
    <row r="123" spans="48:49" ht="12.75" customHeight="1" x14ac:dyDescent="0.2">
      <c r="AV123" s="141" t="s">
        <v>323</v>
      </c>
      <c r="AW123" s="290">
        <f>IF(($R$41=AV123)*AND($R$42&lt;&gt;""),VLOOKUP($R$42,'Barèmes CALOG'!$BG$40:$BH$70,2),0)</f>
        <v>0</v>
      </c>
    </row>
    <row r="124" spans="48:49" ht="12.75" customHeight="1" x14ac:dyDescent="0.2">
      <c r="AV124" s="141" t="s">
        <v>324</v>
      </c>
      <c r="AW124" s="290">
        <f>IF(($R$41=AV124)*AND($R$42&lt;&gt;""),VLOOKUP($R$42,'Barèmes CALOG'!$BJ$40:$BK$70,2),0)</f>
        <v>0</v>
      </c>
    </row>
    <row r="125" spans="48:49" ht="12.75" customHeight="1" x14ac:dyDescent="0.2">
      <c r="AV125" s="141" t="s">
        <v>325</v>
      </c>
      <c r="AW125" s="290">
        <f>IF(($R$41=AV125)*AND($R$42&lt;&gt;""),VLOOKUP($R$42,'Barèmes CALOG'!$BM$40:$BN$70,2),0)</f>
        <v>0</v>
      </c>
    </row>
    <row r="126" spans="48:49" ht="12.75" customHeight="1" x14ac:dyDescent="0.2">
      <c r="AV126" s="141" t="s">
        <v>326</v>
      </c>
      <c r="AW126" s="290">
        <f>IF(($R$41=AV126)*AND($R$42&lt;&gt;""),VLOOKUP($R$42,'Barèmes CALOG'!$BP$40:$BQ$70,2),0)</f>
        <v>0</v>
      </c>
    </row>
    <row r="127" spans="48:49" ht="12.75" customHeight="1" x14ac:dyDescent="0.2">
      <c r="AV127" s="141" t="s">
        <v>327</v>
      </c>
      <c r="AW127" s="290">
        <f>IF(($R$41=AV127)*AND($R$42&lt;&gt;""),VLOOKUP($R$42,'Barèmes CALOG'!$BS$40:$BT$70,2),0)</f>
        <v>0</v>
      </c>
    </row>
    <row r="128" spans="48:49" ht="12.75" customHeight="1" x14ac:dyDescent="0.2">
      <c r="AV128" s="141" t="s">
        <v>328</v>
      </c>
      <c r="AW128" s="290">
        <f>IF(($R$41=AV128)*AND($R$42&lt;&gt;""),VLOOKUP($R$42,'Barèmes CALOG'!$BV$40:$BW$70,2),0)</f>
        <v>0</v>
      </c>
    </row>
    <row r="129" spans="48:49" ht="12.75" customHeight="1" x14ac:dyDescent="0.2">
      <c r="AV129" s="141" t="s">
        <v>329</v>
      </c>
      <c r="AW129" s="290">
        <f>IF(($R$41=AV129)*AND($R$42&lt;&gt;""),VLOOKUP($R$42,'Barèmes CALOG'!$BY$40:$BZ$70,2),0)</f>
        <v>0</v>
      </c>
    </row>
    <row r="130" spans="48:49" ht="12.75" customHeight="1" x14ac:dyDescent="0.2">
      <c r="AV130" s="141" t="s">
        <v>330</v>
      </c>
      <c r="AW130" s="290">
        <f>IF(($R$41=AV130)*AND($R$42&lt;&gt;""),VLOOKUP($R$42,'Barèmes CALOG'!$CB$40:$CC$70,2),0)</f>
        <v>0</v>
      </c>
    </row>
    <row r="131" spans="48:49" ht="12.75" customHeight="1" x14ac:dyDescent="0.2">
      <c r="AV131" s="141" t="s">
        <v>331</v>
      </c>
      <c r="AW131" s="290">
        <f>IF(($R$41=AV131)*AND($R$42&lt;&gt;""),VLOOKUP($R$42,'Barèmes CALOG'!$CE$40:$CF$70,2),0)</f>
        <v>0</v>
      </c>
    </row>
  </sheetData>
  <sheetProtection password="EC91" sheet="1" objects="1" scenarios="1" selectLockedCells="1"/>
  <mergeCells count="124">
    <mergeCell ref="AB58:AD58"/>
    <mergeCell ref="B53:E53"/>
    <mergeCell ref="F53:G53"/>
    <mergeCell ref="S53:U53"/>
    <mergeCell ref="AB53:AD53"/>
    <mergeCell ref="AB59:AD59"/>
    <mergeCell ref="AG54:AJ54"/>
    <mergeCell ref="S55:U55"/>
    <mergeCell ref="AB55:AD55"/>
    <mergeCell ref="AG55:AJ55"/>
    <mergeCell ref="S56:U56"/>
    <mergeCell ref="S57:U57"/>
    <mergeCell ref="S54:U54"/>
    <mergeCell ref="AB54:AD54"/>
    <mergeCell ref="S52:U52"/>
    <mergeCell ref="AB52:AD52"/>
    <mergeCell ref="AG52:AJ52"/>
    <mergeCell ref="B50:G50"/>
    <mergeCell ref="O50:Q50"/>
    <mergeCell ref="S50:U50"/>
    <mergeCell ref="B51:E51"/>
    <mergeCell ref="S51:U51"/>
    <mergeCell ref="AG51:AJ51"/>
    <mergeCell ref="O51:R51"/>
    <mergeCell ref="B52:E52"/>
    <mergeCell ref="F52:G52"/>
    <mergeCell ref="O52:R52"/>
    <mergeCell ref="O49:Q49"/>
    <mergeCell ref="S49:U49"/>
    <mergeCell ref="AB49:AD49"/>
    <mergeCell ref="AG49:AJ49"/>
    <mergeCell ref="O47:Q47"/>
    <mergeCell ref="S47:U47"/>
    <mergeCell ref="AB48:AD48"/>
    <mergeCell ref="Z48:AA48"/>
    <mergeCell ref="Z49:AA49"/>
    <mergeCell ref="B48:E48"/>
    <mergeCell ref="F48:G48"/>
    <mergeCell ref="O48:Q48"/>
    <mergeCell ref="S48:U48"/>
    <mergeCell ref="AM45:AP45"/>
    <mergeCell ref="AQ45:AR45"/>
    <mergeCell ref="B46:D46"/>
    <mergeCell ref="E46:F46"/>
    <mergeCell ref="G46:H46"/>
    <mergeCell ref="Z46:AA46"/>
    <mergeCell ref="AG48:AJ48"/>
    <mergeCell ref="AB46:AD46"/>
    <mergeCell ref="AG46:AJ46"/>
    <mergeCell ref="AM46:AP46"/>
    <mergeCell ref="AQ46:AR46"/>
    <mergeCell ref="B45:D45"/>
    <mergeCell ref="E45:F45"/>
    <mergeCell ref="G45:H45"/>
    <mergeCell ref="S45:U45"/>
    <mergeCell ref="AB45:AD45"/>
    <mergeCell ref="AG45:AJ45"/>
    <mergeCell ref="B44:D44"/>
    <mergeCell ref="E44:F44"/>
    <mergeCell ref="G44:H44"/>
    <mergeCell ref="S44:U44"/>
    <mergeCell ref="Z44:AA45"/>
    <mergeCell ref="AB44:AD44"/>
    <mergeCell ref="AG44:AJ44"/>
    <mergeCell ref="AM44:AP44"/>
    <mergeCell ref="AQ44:AR44"/>
    <mergeCell ref="B43:D43"/>
    <mergeCell ref="E43:F43"/>
    <mergeCell ref="G43:H43"/>
    <mergeCell ref="S43:U43"/>
    <mergeCell ref="J41:N41"/>
    <mergeCell ref="R41:S41"/>
    <mergeCell ref="AB43:AD43"/>
    <mergeCell ref="AG43:AJ43"/>
    <mergeCell ref="AM43:AQ43"/>
    <mergeCell ref="B42:D42"/>
    <mergeCell ref="E42:F42"/>
    <mergeCell ref="G42:H42"/>
    <mergeCell ref="R42:S42"/>
    <mergeCell ref="T42:V42"/>
    <mergeCell ref="Z42:AA42"/>
    <mergeCell ref="B41:D41"/>
    <mergeCell ref="E41:F41"/>
    <mergeCell ref="G41:H41"/>
    <mergeCell ref="T41:V41"/>
    <mergeCell ref="O7:P7"/>
    <mergeCell ref="AV4:AV7"/>
    <mergeCell ref="AW4:AW7"/>
    <mergeCell ref="AH5:AJ5"/>
    <mergeCell ref="AK5:AN5"/>
    <mergeCell ref="W40:X40"/>
    <mergeCell ref="AF4:AF7"/>
    <mergeCell ref="AS4:AS7"/>
    <mergeCell ref="AO4:AR4"/>
    <mergeCell ref="AT4:AT7"/>
    <mergeCell ref="AU4:AU7"/>
    <mergeCell ref="AG4:AG7"/>
    <mergeCell ref="AE4:AE7"/>
    <mergeCell ref="Z41:AA41"/>
    <mergeCell ref="Z6:Z7"/>
    <mergeCell ref="X6:X7"/>
    <mergeCell ref="AB4:AB7"/>
    <mergeCell ref="AC4:AC7"/>
    <mergeCell ref="AD4:AD7"/>
    <mergeCell ref="J6:K6"/>
    <mergeCell ref="L6:N6"/>
    <mergeCell ref="O6:P6"/>
    <mergeCell ref="Q6:T6"/>
    <mergeCell ref="B6:B7"/>
    <mergeCell ref="C6:C7"/>
    <mergeCell ref="D6:D7"/>
    <mergeCell ref="E6:E7"/>
    <mergeCell ref="F6:G6"/>
    <mergeCell ref="H6:I6"/>
    <mergeCell ref="D2:G2"/>
    <mergeCell ref="I2:L2"/>
    <mergeCell ref="N2:Q2"/>
    <mergeCell ref="R2:S2"/>
    <mergeCell ref="D3:G3"/>
    <mergeCell ref="J3:L3"/>
    <mergeCell ref="N3:Q3"/>
    <mergeCell ref="R3:S3"/>
    <mergeCell ref="D4:G4"/>
    <mergeCell ref="J4:L4"/>
  </mergeCells>
  <conditionalFormatting sqref="B8:AA38">
    <cfRule type="expression" dxfId="11" priority="3" stopIfTrue="1">
      <formula>OR($B8="Sa",$B8="Di",$D8="Jour férié semaine",$D8="Jour de pont")</formula>
    </cfRule>
  </conditionalFormatting>
  <conditionalFormatting sqref="Y8:AA38">
    <cfRule type="expression" dxfId="10" priority="1" stopIfTrue="1">
      <formula>OR($B8="Za",$B8="Zo",$D8="Feestdag week",$D8="Brugdag")</formula>
    </cfRule>
  </conditionalFormatting>
  <dataValidations count="3">
    <dataValidation type="list" allowBlank="1" showInputMessage="1" showErrorMessage="1" sqref="D8:D38" xr:uid="{00000000-0002-0000-0900-000000000000}">
      <formula1>$AX$8:$AX$29</formula1>
    </dataValidation>
    <dataValidation type="list" allowBlank="1" showInputMessage="1" showErrorMessage="1" sqref="E8:E38" xr:uid="{00000000-0002-0000-0900-000001000000}">
      <formula1>"M,E,ME"</formula1>
    </dataValidation>
    <dataValidation type="list" allowBlank="1" showInputMessage="1" showErrorMessage="1" sqref="R2:R3 F48" xr:uid="{00000000-0002-0000-0900-000002000000}">
      <formula1>"Oui,Non"</formula1>
    </dataValidation>
  </dataValidations>
  <pageMargins left="0.7" right="0.7" top="0.75" bottom="0.75" header="0.3" footer="0.3"/>
  <pageSetup paperSize="9" scale="68" fitToWidth="0" orientation="landscape"/>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BF131"/>
  <sheetViews>
    <sheetView workbookViewId="0">
      <selection activeCell="D8" sqref="D8"/>
    </sheetView>
  </sheetViews>
  <sheetFormatPr defaultRowHeight="12.75" customHeight="1" x14ac:dyDescent="0.2"/>
  <cols>
    <col min="1" max="1" width="1.42578125" style="17" customWidth="1"/>
    <col min="2" max="2" width="4" style="19" customWidth="1"/>
    <col min="3" max="3" width="6.85546875" style="17" customWidth="1"/>
    <col min="4" max="4" width="17.7109375" style="17" customWidth="1"/>
    <col min="5" max="5" width="4.42578125" style="17" customWidth="1"/>
    <col min="6" max="7" width="5.140625" style="37" customWidth="1"/>
    <col min="8" max="11" width="5.140625" style="17" customWidth="1"/>
    <col min="12" max="12" width="5.7109375" style="19" customWidth="1"/>
    <col min="13" max="13" width="6.28515625" style="19" customWidth="1"/>
    <col min="14" max="14" width="6.140625" style="18" customWidth="1"/>
    <col min="15" max="15" width="2.42578125" style="18" customWidth="1"/>
    <col min="16" max="16" width="6.42578125" style="17" customWidth="1"/>
    <col min="17" max="20" width="2.85546875" style="17" customWidth="1"/>
    <col min="21" max="21" width="5.7109375" style="17" customWidth="1"/>
    <col min="22" max="23" width="7.42578125" style="17" customWidth="1"/>
    <col min="24" max="24" width="7.7109375" style="17" customWidth="1"/>
    <col min="25" max="25" width="5.28515625" style="141" customWidth="1"/>
    <col min="26" max="26" width="6.42578125" style="141" customWidth="1"/>
    <col min="27" max="27" width="7.7109375" style="141" customWidth="1"/>
    <col min="28" max="28" width="7.85546875" style="141" hidden="1" customWidth="1"/>
    <col min="29" max="32" width="12.42578125" style="141" hidden="1" customWidth="1"/>
    <col min="33" max="33" width="8" style="141" hidden="1" customWidth="1"/>
    <col min="34" max="34" width="9.140625" style="141" hidden="1" customWidth="1"/>
    <col min="35" max="45" width="7.7109375" style="141" hidden="1" customWidth="1"/>
    <col min="46" max="48" width="12.140625" style="141" hidden="1" customWidth="1"/>
    <col min="49" max="51" width="9.85546875" style="141" hidden="1" customWidth="1"/>
    <col min="52" max="256" width="11.42578125" style="17" customWidth="1"/>
    <col min="257" max="16384" width="9.140625" style="17"/>
  </cols>
  <sheetData>
    <row r="1" spans="1:58" ht="5.25" customHeight="1" x14ac:dyDescent="0.2"/>
    <row r="2" spans="1:58" ht="12.75" customHeight="1" x14ac:dyDescent="0.2">
      <c r="D2" s="455" t="str">
        <f>CONCATENATE("Utilisateur: ",Configuration!H17)</f>
        <v xml:space="preserve">Utilisateur: </v>
      </c>
      <c r="E2" s="455"/>
      <c r="F2" s="455"/>
      <c r="G2" s="455"/>
      <c r="I2" s="456" t="s">
        <v>174</v>
      </c>
      <c r="J2" s="438"/>
      <c r="K2" s="438"/>
      <c r="L2" s="438"/>
      <c r="M2" s="18"/>
      <c r="N2" s="456" t="s">
        <v>177</v>
      </c>
      <c r="O2" s="438"/>
      <c r="P2" s="438"/>
      <c r="Q2" s="438"/>
      <c r="R2" s="439" t="s">
        <v>179</v>
      </c>
      <c r="S2" s="439"/>
      <c r="T2" s="20"/>
    </row>
    <row r="3" spans="1:58" ht="12.75" customHeight="1" x14ac:dyDescent="0.2">
      <c r="D3" s="440" t="str">
        <f>Configuration!G8</f>
        <v>OTT Tool 2024</v>
      </c>
      <c r="E3" s="440"/>
      <c r="F3" s="440"/>
      <c r="G3" s="440"/>
      <c r="I3" s="26"/>
      <c r="J3" s="438" t="s">
        <v>175</v>
      </c>
      <c r="K3" s="438"/>
      <c r="L3" s="438"/>
      <c r="M3" s="45">
        <f>IF(Jul!$F$48="Oui",Jul!F52,0)</f>
        <v>0</v>
      </c>
      <c r="N3" s="456" t="s">
        <v>178</v>
      </c>
      <c r="O3" s="438"/>
      <c r="P3" s="438"/>
      <c r="Q3" s="438"/>
      <c r="R3" s="439" t="s">
        <v>180</v>
      </c>
      <c r="S3" s="439"/>
      <c r="T3" s="20"/>
    </row>
    <row r="4" spans="1:58" ht="12.75" customHeight="1" x14ac:dyDescent="0.2">
      <c r="D4" s="440" t="s">
        <v>173</v>
      </c>
      <c r="E4" s="440"/>
      <c r="F4" s="440"/>
      <c r="G4" s="440"/>
      <c r="I4" s="20"/>
      <c r="J4" s="438" t="s">
        <v>176</v>
      </c>
      <c r="K4" s="438"/>
      <c r="L4" s="438"/>
      <c r="M4" s="45">
        <f>IF(Jul!$F$48="Oui",Jul!F53,Jul!M4)</f>
        <v>0</v>
      </c>
      <c r="N4" s="21"/>
      <c r="O4" s="19"/>
      <c r="Q4" s="18"/>
      <c r="T4" s="20"/>
      <c r="AB4" s="443" t="s">
        <v>259</v>
      </c>
      <c r="AC4" s="432" t="s">
        <v>160</v>
      </c>
      <c r="AD4" s="432" t="s">
        <v>255</v>
      </c>
      <c r="AE4" s="432" t="s">
        <v>166</v>
      </c>
      <c r="AF4" s="454" t="s">
        <v>168</v>
      </c>
      <c r="AG4" s="429" t="s">
        <v>45</v>
      </c>
      <c r="AJ4" s="121"/>
      <c r="AO4" s="426" t="s">
        <v>48</v>
      </c>
      <c r="AP4" s="427"/>
      <c r="AQ4" s="427"/>
      <c r="AR4" s="428"/>
      <c r="AS4" s="430" t="s">
        <v>52</v>
      </c>
      <c r="AT4" s="431" t="s">
        <v>53</v>
      </c>
      <c r="AU4" s="431" t="s">
        <v>60</v>
      </c>
      <c r="AV4" s="418" t="s">
        <v>62</v>
      </c>
      <c r="AW4" s="432" t="s">
        <v>63</v>
      </c>
    </row>
    <row r="5" spans="1:58" ht="12.75" customHeight="1" x14ac:dyDescent="0.2">
      <c r="B5" s="35"/>
      <c r="AB5" s="443"/>
      <c r="AC5" s="432"/>
      <c r="AD5" s="432"/>
      <c r="AE5" s="432"/>
      <c r="AF5" s="454"/>
      <c r="AG5" s="429"/>
      <c r="AH5" s="426" t="s">
        <v>47</v>
      </c>
      <c r="AI5" s="427"/>
      <c r="AJ5" s="428"/>
      <c r="AK5" s="426" t="s">
        <v>46</v>
      </c>
      <c r="AL5" s="427"/>
      <c r="AM5" s="427"/>
      <c r="AN5" s="428"/>
      <c r="AO5" s="105" t="s">
        <v>49</v>
      </c>
      <c r="AP5" s="94" t="s">
        <v>50</v>
      </c>
      <c r="AQ5" s="94" t="s">
        <v>51</v>
      </c>
      <c r="AR5" s="112" t="s">
        <v>46</v>
      </c>
      <c r="AS5" s="430"/>
      <c r="AT5" s="431"/>
      <c r="AU5" s="431"/>
      <c r="AV5" s="418"/>
      <c r="AW5" s="432"/>
    </row>
    <row r="6" spans="1:58" ht="12.75" customHeight="1" x14ac:dyDescent="0.2">
      <c r="A6" s="34"/>
      <c r="B6" s="419" t="s">
        <v>181</v>
      </c>
      <c r="C6" s="421" t="s">
        <v>182</v>
      </c>
      <c r="D6" s="421" t="s">
        <v>183</v>
      </c>
      <c r="E6" s="423" t="s">
        <v>184</v>
      </c>
      <c r="F6" s="446" t="s">
        <v>111</v>
      </c>
      <c r="G6" s="447"/>
      <c r="H6" s="433" t="s">
        <v>111</v>
      </c>
      <c r="I6" s="434"/>
      <c r="J6" s="433" t="s">
        <v>111</v>
      </c>
      <c r="K6" s="434"/>
      <c r="L6" s="433" t="s">
        <v>185</v>
      </c>
      <c r="M6" s="435"/>
      <c r="N6" s="434"/>
      <c r="O6" s="436" t="s">
        <v>41</v>
      </c>
      <c r="P6" s="437"/>
      <c r="Q6" s="433" t="s">
        <v>189</v>
      </c>
      <c r="R6" s="435"/>
      <c r="S6" s="435"/>
      <c r="T6" s="434"/>
      <c r="U6" s="27" t="s">
        <v>190</v>
      </c>
      <c r="V6" s="27" t="s">
        <v>191</v>
      </c>
      <c r="W6" s="27" t="s">
        <v>191</v>
      </c>
      <c r="X6" s="444" t="s">
        <v>192</v>
      </c>
      <c r="Y6" s="137" t="s">
        <v>195</v>
      </c>
      <c r="Z6" s="421" t="s">
        <v>245</v>
      </c>
      <c r="AA6" s="137" t="s">
        <v>246</v>
      </c>
      <c r="AB6" s="443"/>
      <c r="AC6" s="432"/>
      <c r="AD6" s="432"/>
      <c r="AE6" s="432"/>
      <c r="AF6" s="454"/>
      <c r="AG6" s="429"/>
      <c r="AH6" s="102">
        <v>0.79166666666666663</v>
      </c>
      <c r="AI6" s="100">
        <v>0</v>
      </c>
      <c r="AJ6" s="104">
        <v>0.79166666666666663</v>
      </c>
      <c r="AK6" s="120">
        <v>0.91666666666666663</v>
      </c>
      <c r="AL6" s="100">
        <v>0</v>
      </c>
      <c r="AM6" s="96">
        <v>0.79166666666666663</v>
      </c>
      <c r="AN6" s="104">
        <v>0.91666666666666663</v>
      </c>
      <c r="AO6" s="113">
        <v>0.25</v>
      </c>
      <c r="AP6" s="114">
        <v>0.5</v>
      </c>
      <c r="AQ6" s="114">
        <v>0.75</v>
      </c>
      <c r="AR6" s="115">
        <v>0</v>
      </c>
      <c r="AS6" s="430"/>
      <c r="AT6" s="431"/>
      <c r="AU6" s="431"/>
      <c r="AV6" s="418"/>
      <c r="AW6" s="432"/>
      <c r="AZ6" s="22"/>
      <c r="BA6" s="23"/>
    </row>
    <row r="7" spans="1:58" ht="12.75" customHeight="1" x14ac:dyDescent="0.2">
      <c r="A7" s="34"/>
      <c r="B7" s="420"/>
      <c r="C7" s="422"/>
      <c r="D7" s="422"/>
      <c r="E7" s="424"/>
      <c r="F7" s="38" t="s">
        <v>112</v>
      </c>
      <c r="G7" s="39" t="s">
        <v>113</v>
      </c>
      <c r="H7" s="28" t="s">
        <v>112</v>
      </c>
      <c r="I7" s="139" t="s">
        <v>113</v>
      </c>
      <c r="J7" s="28" t="s">
        <v>112</v>
      </c>
      <c r="K7" s="139" t="s">
        <v>113</v>
      </c>
      <c r="L7" s="28" t="s">
        <v>186</v>
      </c>
      <c r="M7" s="29" t="s">
        <v>187</v>
      </c>
      <c r="N7" s="139" t="s">
        <v>44</v>
      </c>
      <c r="O7" s="441" t="s">
        <v>188</v>
      </c>
      <c r="P7" s="442"/>
      <c r="Q7" s="31" t="s">
        <v>198</v>
      </c>
      <c r="R7" s="32" t="s">
        <v>42</v>
      </c>
      <c r="S7" s="32" t="s">
        <v>199</v>
      </c>
      <c r="T7" s="140" t="s">
        <v>200</v>
      </c>
      <c r="U7" s="30" t="s">
        <v>43</v>
      </c>
      <c r="V7" s="33" t="s">
        <v>193</v>
      </c>
      <c r="W7" s="33" t="s">
        <v>194</v>
      </c>
      <c r="X7" s="445"/>
      <c r="Y7" s="138" t="s">
        <v>196</v>
      </c>
      <c r="Z7" s="422"/>
      <c r="AA7" s="138" t="s">
        <v>247</v>
      </c>
      <c r="AB7" s="443"/>
      <c r="AC7" s="432"/>
      <c r="AD7" s="432"/>
      <c r="AE7" s="432"/>
      <c r="AF7" s="454"/>
      <c r="AG7" s="429"/>
      <c r="AH7" s="102">
        <v>1</v>
      </c>
      <c r="AI7" s="100">
        <v>0.29166666666666669</v>
      </c>
      <c r="AJ7" s="104">
        <v>0.29166666666666669</v>
      </c>
      <c r="AK7" s="102">
        <v>1</v>
      </c>
      <c r="AL7" s="99">
        <v>0.25</v>
      </c>
      <c r="AM7" s="95">
        <v>0.91666666666666663</v>
      </c>
      <c r="AN7" s="103">
        <v>0.25</v>
      </c>
      <c r="AO7" s="106">
        <v>0.33333333333333331</v>
      </c>
      <c r="AP7" s="96">
        <v>0.58333333333333337</v>
      </c>
      <c r="AQ7" s="96">
        <v>0.83333333333333337</v>
      </c>
      <c r="AR7" s="104">
        <v>8.3333333333333329E-2</v>
      </c>
      <c r="AS7" s="430"/>
      <c r="AT7" s="431"/>
      <c r="AU7" s="431"/>
      <c r="AV7" s="418"/>
      <c r="AW7" s="432"/>
      <c r="AZ7" s="22" t="s">
        <v>197</v>
      </c>
      <c r="BA7" s="23"/>
    </row>
    <row r="8" spans="1:58" ht="12.75" customHeight="1" x14ac:dyDescent="0.2">
      <c r="A8" s="34"/>
      <c r="B8" s="59" t="str">
        <f t="shared" ref="B8:B38" si="0">CHOOSE(WEEKDAY(C8),"Di","Lu","Ma","Me","Je","Ve","Sa")</f>
        <v>Je</v>
      </c>
      <c r="C8" s="60">
        <f>DATE(RIGHT(Configuration!$G$8,4),8,1)</f>
        <v>45505</v>
      </c>
      <c r="D8" s="61"/>
      <c r="E8" s="62"/>
      <c r="F8" s="63"/>
      <c r="G8" s="64"/>
      <c r="H8" s="63"/>
      <c r="I8" s="64"/>
      <c r="J8" s="63"/>
      <c r="K8" s="64"/>
      <c r="L8" s="40">
        <f t="shared" ref="L8:L38" si="1">(G8-F8)+(I8-H8)+(K8-J8)+SUM(AB8,AC8,AD8,AE8,AF8,AG8)</f>
        <v>0</v>
      </c>
      <c r="M8" s="65">
        <f>L8+M3+IF(Jul!F48="Non",Jul!M38,0)</f>
        <v>0</v>
      </c>
      <c r="N8" s="66">
        <f>IF(AND(D8&lt;&gt;"Jour libre 4/5",B8&lt;&gt;"Sa",B8&lt;&gt;"Di"),SUM(N7,Configuration!$H$41),SUM(N7))+IF(Jul!F48="Non",Jul!N38,0)</f>
        <v>7.5999999999999961</v>
      </c>
      <c r="O8" s="48" t="str">
        <f>IF(M8-N8-$M$4&gt;=0,"+","-")</f>
        <v>-</v>
      </c>
      <c r="P8" s="67">
        <f>ABS(M8-N8-$M$4)</f>
        <v>7.5999999999999961</v>
      </c>
      <c r="Q8" s="164">
        <f>AO8</f>
        <v>0</v>
      </c>
      <c r="R8" s="165">
        <f>AP8</f>
        <v>0</v>
      </c>
      <c r="S8" s="165">
        <f>AQ8</f>
        <v>0</v>
      </c>
      <c r="T8" s="166">
        <f>AR8</f>
        <v>0</v>
      </c>
      <c r="U8" s="93">
        <f t="shared" ref="U8:U38" si="2">IF(OR(AND(D8="Jour férié semaine",((G8-F8)+(I8-H8)+(K8-J8&gt;0))),B8="Sa",B8="Di"),L8,0)</f>
        <v>0</v>
      </c>
      <c r="V8" s="93">
        <f t="shared" ref="V8:V38" si="3">IF($R$2="Oui",AM8,0)</f>
        <v>0</v>
      </c>
      <c r="W8" s="93">
        <f t="shared" ref="W8:W38" si="4">IF($R$2="Oui",AN8,0)</f>
        <v>0</v>
      </c>
      <c r="X8" s="93">
        <f t="shared" ref="X8:X38" si="5">IF($R$3="Oui",AJ8,0)</f>
        <v>0</v>
      </c>
      <c r="Y8" s="209"/>
      <c r="Z8" s="210"/>
      <c r="AA8" s="210"/>
      <c r="AB8" s="128">
        <f>IF(AND(D8="Jour férié semaine",((G8-F8)+(I8-H8)+(K8-J8)=0)),VLOOKUP(D8,Systeemgegevens!$J:$K,2,FALSE),0)</f>
        <v>0</v>
      </c>
      <c r="AC8" s="43">
        <f>IF(AND(NOT(ISERROR(FIND("Congé",D8))),ISERROR(FIND("1/2",D8)),ISERROR(FIND("Synd",D8)),ISERROR(FIND("synd",D8)),(G8-F8+I8-H8+K8-J8)=0),VLOOKUP(D8,Systeemgegevens!$J:$K,2,FALSE),IF(AND(NOT(ISERROR(FIND("1/2 Congé + ",D8))),(G8-F8+I8-H8+K8-J8)=0),VLOOKUP(D8,Systeemgegevens!$J:$K,2,FALSE)/2,IF(AND(NOT(ISERROR(FIND("1/2 Congé",D8))),ISERROR(FIND(" + ",D8)),ISERROR(FIND("1/2 Congé Synd.",D8))),VLOOKUP(D8,Systeemgegevens!$J:$K,2,FALSE),0)))</f>
        <v>0</v>
      </c>
      <c r="AD8" s="43">
        <f>IF(AND(OR(D8="1/2 Congé Synd.",D8="Congé Synd."),((G8-F8)+(I8-H8)+(K8-J8)=0)),VLOOKUP(D8,Systeemgegevens!$J:$K,2,FALSE),IF(AND(D8="1/2 Congé + 1/2 synd.",((G8-F8)+(I8-H8)+(K8-J8)=0)),AC8,0))</f>
        <v>0</v>
      </c>
      <c r="AE8" s="43">
        <f>IF(AND(D8="Jour de pont",((G8-F8)+(I8-H8)+(K8-J8)=0)),VLOOKUP(D8,Systeemgegevens!$J:$K,2,FALSE),0)</f>
        <v>0</v>
      </c>
      <c r="AF8" s="43">
        <f>IF(AND(D8="Jour libre 4/5",AND((G8-F8)+(I8-H8)+(K8-J8)=0)),VLOOKUP(D8,Systeemgegevens!$J:$K,2,FALSE),0)</f>
        <v>0</v>
      </c>
      <c r="AG8" s="118">
        <f>IF(AND(D8&lt;&gt;"",SUM(AB8:AF8)=0,D8&lt;&gt;$AB$4,D8&lt;&gt;$AC$4,D8&lt;&gt;$AD$4,D8&lt;&gt;$AE$4,D8&lt;&gt;$AF$4),VLOOKUP(D8,Systeemgegevens!$J:$K,2,FALSE),0)</f>
        <v>0</v>
      </c>
      <c r="AH8" s="119">
        <f t="shared" ref="AH8:AH38" si="6">SUM(IF(AND(G8&gt;$AH$6,F8&lt;=$AH$6),G8-$AH$6,0),IF(F8&gt;$AH$6,G8-F8,0),IF(AND(I8&gt;$AH$6,H8&lt;=$AH$6),I8-$AH$6,0),IF(H8&gt;$AH$6,I8-H8,0),IF(AND(K8&gt;$AH$6,J8&lt;=$AH$6),K8-$AH$6,0),IF(J8&gt;$AH$6,K8-J8,0))</f>
        <v>0</v>
      </c>
      <c r="AI8" s="101">
        <f t="shared" ref="AI8:AI38" si="7">SUM(IF(AND(G8&gt;=$AI$7,F8&lt;$AI$7),$AI$7-F8,0),IF(G8&lt;$AI$7,G8-F8,0),IF(AND(I8&gt;=$AI$7,H8&lt;$AI$7),$AI$7-H8,0),IF(I8&lt;$AI$7,I8-H8,0),IF(AND(K8&gt;=$AI$7,J8&lt;$AI$7),$AI$7-J8,0),IF(K8&lt;$AI$7,K8-J8,0))</f>
        <v>0</v>
      </c>
      <c r="AJ8" s="118">
        <f>SUM(AH8:AI8)</f>
        <v>0</v>
      </c>
      <c r="AK8" s="119">
        <f t="shared" ref="AK8:AK38" si="8">SUM(IF(AND(G8&gt;$AK$6,F8&lt;=$AK$6),G8-$AK$6,0),IF(F8&gt;$AK$6,G8-F8,0),IF(AND(I8&gt;$AK$6,H8&lt;=$AK$6),I8-$AK$6,0),IF(H8&gt;$AK$6,I8-H8,0),IF(AND(K8&gt;$AK$6,J8&lt;=$AK$6),K8-$AK$6,0),IF(J8&gt;$AK$6,K8-J8,0))</f>
        <v>0</v>
      </c>
      <c r="AL8" s="101">
        <f t="shared" ref="AL8:AL38" si="9">SUM(IF(AND(G8&gt;=$AL$7,F8&lt;$AL$7),$AL$7-F8,0),IF(G8&lt;$AL$7,G8-F8,0),IF(AND(I8&gt;=$AL$7,H8&lt;$AL$7),$AL$7-H8,0),IF(I8&lt;$AL$7,I8-H8,0),IF(AND(K8&gt;=$AL$7,J8&lt;$AL$7),$AL$7-J8,0),IF(K8&lt;$AL$7,K8-J8,0))</f>
        <v>0</v>
      </c>
      <c r="AM8" s="43">
        <f>AH8-AK8</f>
        <v>0</v>
      </c>
      <c r="AN8" s="118">
        <f>AK8+AL8</f>
        <v>0</v>
      </c>
      <c r="AO8" s="122">
        <f t="shared" ref="AO8:AO38" si="10">SUM(IF(AND(F8&lt;=$AO$6,G8&gt;=$AO$7),1,0),IF(AND(H8&lt;=$AO$6,I8&gt;=$AO$7),1,0),IF(AND(J8&lt;=$AO$6,K8&gt;=$AO$7),1,0))</f>
        <v>0</v>
      </c>
      <c r="AP8" s="107">
        <f t="shared" ref="AP8:AP38" si="11">SUM(IF(AND(F8&lt;=$AP$6,G8&gt;=$AP$7),1,0),IF(AND(H8&lt;=$AP$6,I8&gt;=$AP$7),1,0),IF(AND(J8&lt;=$AP$6,K8&gt;=$AP$7),1,0))</f>
        <v>0</v>
      </c>
      <c r="AQ8" s="107">
        <f t="shared" ref="AQ8:AQ38" si="12">SUM(IF(AND(F8&lt;=$AQ$6,G8&gt;=$AQ$7),1,0),IF(AND(H8&lt;=$AQ$6,I8&gt;=$AQ$7),1,0),IF(AND(J8&lt;=$AQ$6,K8&gt;=$AQ$7),1,0))</f>
        <v>0</v>
      </c>
      <c r="AR8" s="123">
        <f t="shared" ref="AR8:AR38" si="13">SUM(IF(AND(F8&lt;=$AR$6,G8&gt;=$AR$7),1,0),IF(AND(H8&lt;=$AR$6,I8&gt;=$AR$7),1,0),IF(AND(J8&lt;=$AR$6,K8&gt;=$AR$7),1,0))</f>
        <v>0</v>
      </c>
      <c r="AS8" s="124">
        <f t="shared" ref="AS8:AS38" si="14">IF(OR(E8="M",E8="ME"),1,0)</f>
        <v>0</v>
      </c>
      <c r="AT8" s="124">
        <f t="shared" ref="AT8:AT38" si="15">IF(OR(E8="E",E8="ME"),1,0)</f>
        <v>0</v>
      </c>
      <c r="AU8" s="124">
        <f t="shared" ref="AU8:AU38" si="16">IF(AND(OR(D8="Jour férié semaine",D8="Jour de pont"),((G8-F8)+(I8-H8)+(K8-J8)&gt;0)),1,0)</f>
        <v>0</v>
      </c>
      <c r="AV8" s="117" t="s">
        <v>36</v>
      </c>
      <c r="AW8" s="129">
        <f>IF(($R$41=AV8)*AND($R$42&lt;&gt;""),VLOOKUP($R$42,'Barèmes police'!$B$4:$C$30,2),0)</f>
        <v>14703.88</v>
      </c>
      <c r="AX8" s="15"/>
      <c r="AY8" s="14"/>
      <c r="AZ8" s="269"/>
      <c r="BA8" s="154"/>
      <c r="BB8" s="154"/>
      <c r="BC8" s="154"/>
      <c r="BD8" s="154"/>
      <c r="BE8" s="154"/>
      <c r="BF8" s="154"/>
    </row>
    <row r="9" spans="1:58" ht="12.75" customHeight="1" x14ac:dyDescent="0.2">
      <c r="A9" s="34"/>
      <c r="B9" s="24" t="str">
        <f t="shared" si="0"/>
        <v>Ve</v>
      </c>
      <c r="C9" s="25">
        <f>C8+1</f>
        <v>45506</v>
      </c>
      <c r="D9" s="51"/>
      <c r="E9" s="116"/>
      <c r="F9" s="52"/>
      <c r="G9" s="53"/>
      <c r="H9" s="52"/>
      <c r="I9" s="53"/>
      <c r="J9" s="54"/>
      <c r="K9" s="55"/>
      <c r="L9" s="40">
        <f t="shared" si="1"/>
        <v>0</v>
      </c>
      <c r="M9" s="41">
        <f>M8+L9</f>
        <v>0</v>
      </c>
      <c r="N9" s="42">
        <f>IF(AND(D9&lt;&gt;"Jour libre 4/5",B9&lt;&gt;"Sa",B9&lt;&gt;"Di"),SUM(N8,Configuration!$H$41),SUM(N8))</f>
        <v>7.9166666666666625</v>
      </c>
      <c r="O9" s="49" t="str">
        <f>IF(M9-N9-$M$4&gt;=0,"+","-")</f>
        <v>-</v>
      </c>
      <c r="P9" s="143">
        <f t="shared" ref="P9:P38" si="17">ABS(M9-N9-$M$4)</f>
        <v>7.9166666666666625</v>
      </c>
      <c r="Q9" s="167">
        <f t="shared" ref="Q9:T38" si="18">AO9</f>
        <v>0</v>
      </c>
      <c r="R9" s="168">
        <f t="shared" si="18"/>
        <v>0</v>
      </c>
      <c r="S9" s="168">
        <f t="shared" si="18"/>
        <v>0</v>
      </c>
      <c r="T9" s="169">
        <f t="shared" si="18"/>
        <v>0</v>
      </c>
      <c r="U9" s="97">
        <f t="shared" si="2"/>
        <v>0</v>
      </c>
      <c r="V9" s="97">
        <f t="shared" si="3"/>
        <v>0</v>
      </c>
      <c r="W9" s="97">
        <f t="shared" si="4"/>
        <v>0</v>
      </c>
      <c r="X9" s="97">
        <f t="shared" si="5"/>
        <v>0</v>
      </c>
      <c r="Y9" s="209"/>
      <c r="Z9" s="210"/>
      <c r="AA9" s="210"/>
      <c r="AB9" s="128">
        <f>IF(AND(D9="Jour férié semaine",((G9-F9)+(I9-H9)+(K9-J9)=0)),VLOOKUP(D9,Systeemgegevens!$J:$K,2,FALSE),0)</f>
        <v>0</v>
      </c>
      <c r="AC9" s="43">
        <f>IF(AND(NOT(ISERROR(FIND("Congé",D9))),ISERROR(FIND("1/2",D9)),ISERROR(FIND("Synd",D9)),ISERROR(FIND("synd",D9)),(G9-F9+I9-H9+K9-J9)=0),VLOOKUP(D9,Systeemgegevens!$J:$K,2,FALSE),IF(AND(NOT(ISERROR(FIND("1/2 Congé + ",D9))),(G9-F9+I9-H9+K9-J9)=0),VLOOKUP(D9,Systeemgegevens!$J:$K,2,FALSE)/2,IF(AND(NOT(ISERROR(FIND("1/2 Congé",D9))),ISERROR(FIND(" + ",D9)),ISERROR(FIND("1/2 Congé Synd.",D9))),VLOOKUP(D9,Systeemgegevens!$J:$K,2,FALSE),0)))</f>
        <v>0</v>
      </c>
      <c r="AD9" s="43">
        <f>IF(AND(OR(D9="1/2 Congé Synd.",D9="Congé Synd."),((G9-F9)+(I9-H9)+(K9-J9)=0)),VLOOKUP(D9,Systeemgegevens!$J:$K,2,FALSE),IF(AND(D9="1/2 Congé + 1/2 synd.",((G9-F9)+(I9-H9)+(K9-J9)=0)),AC9,0))</f>
        <v>0</v>
      </c>
      <c r="AE9" s="43">
        <f>IF(AND(D9="Jour de pont",((G9-F9)+(I9-H9)+(K9-J9)=0)),VLOOKUP(D9,Systeemgegevens!$J:$K,2,FALSE),0)</f>
        <v>0</v>
      </c>
      <c r="AF9" s="43">
        <f>IF(AND(D9="Jour libre 4/5",AND((G9-F9)+(I9-H9)+(K9-J9)=0)),VLOOKUP(D9,Systeemgegevens!$J:$K,2,FALSE),0)</f>
        <v>0</v>
      </c>
      <c r="AG9" s="118">
        <f>IF(AND(D9&lt;&gt;"",SUM(AB9:AF9)=0,D9&lt;&gt;$AB$4,D9&lt;&gt;$AC$4,D9&lt;&gt;$AE$4,D9&lt;&gt;$AF$4),VLOOKUP(D9,Systeemgegevens!$J:$K,2,FALSE),0)</f>
        <v>0</v>
      </c>
      <c r="AH9" s="119">
        <f t="shared" si="6"/>
        <v>0</v>
      </c>
      <c r="AI9" s="101">
        <f t="shared" si="7"/>
        <v>0</v>
      </c>
      <c r="AJ9" s="118">
        <f t="shared" ref="AJ9:AJ38" si="19">SUM(AH9:AI9)</f>
        <v>0</v>
      </c>
      <c r="AK9" s="119">
        <f t="shared" si="8"/>
        <v>0</v>
      </c>
      <c r="AL9" s="101">
        <f t="shared" si="9"/>
        <v>0</v>
      </c>
      <c r="AM9" s="43">
        <f t="shared" ref="AM9:AM38" si="20">AH9-AK9</f>
        <v>0</v>
      </c>
      <c r="AN9" s="118">
        <f t="shared" ref="AN9:AN38" si="21">AK9+AL9</f>
        <v>0</v>
      </c>
      <c r="AO9" s="122">
        <f t="shared" si="10"/>
        <v>0</v>
      </c>
      <c r="AP9" s="107">
        <f t="shared" si="11"/>
        <v>0</v>
      </c>
      <c r="AQ9" s="107">
        <f t="shared" si="12"/>
        <v>0</v>
      </c>
      <c r="AR9" s="123">
        <f t="shared" si="13"/>
        <v>0</v>
      </c>
      <c r="AS9" s="124">
        <f t="shared" si="14"/>
        <v>0</v>
      </c>
      <c r="AT9" s="124">
        <f t="shared" si="15"/>
        <v>0</v>
      </c>
      <c r="AU9" s="124">
        <f t="shared" si="16"/>
        <v>0</v>
      </c>
      <c r="AV9" s="117" t="s">
        <v>35</v>
      </c>
      <c r="AW9" s="129">
        <f>IF(($R$41=AV9)*AND($R$42&lt;&gt;""),VLOOKUP($R$42,'Barèmes police'!$E$4:$F$30,2),0)</f>
        <v>0</v>
      </c>
      <c r="AX9" s="16" t="str">
        <f>IF('Types de jours'!F15&lt;&gt;"",'Types de jours'!F15,"")</f>
        <v>Congé</v>
      </c>
      <c r="AY9" s="144">
        <f>IF(AX9&lt;&gt;"",'Types de jours'!I15,"")</f>
        <v>0.31666666666666665</v>
      </c>
      <c r="AZ9" s="269"/>
      <c r="BA9" s="154"/>
      <c r="BB9" s="154"/>
      <c r="BC9" s="154"/>
      <c r="BD9" s="154"/>
      <c r="BE9" s="154"/>
      <c r="BF9" s="154"/>
    </row>
    <row r="10" spans="1:58" ht="12.75" customHeight="1" x14ac:dyDescent="0.2">
      <c r="A10" s="34"/>
      <c r="B10" s="24" t="str">
        <f t="shared" si="0"/>
        <v>Sa</v>
      </c>
      <c r="C10" s="25">
        <f t="shared" ref="C10:C38" si="22">C9+1</f>
        <v>45507</v>
      </c>
      <c r="D10" s="51"/>
      <c r="E10" s="116"/>
      <c r="F10" s="52"/>
      <c r="G10" s="53"/>
      <c r="H10" s="52"/>
      <c r="I10" s="53"/>
      <c r="J10" s="54"/>
      <c r="K10" s="55"/>
      <c r="L10" s="40">
        <f t="shared" si="1"/>
        <v>0</v>
      </c>
      <c r="M10" s="41">
        <f t="shared" ref="M10:M37" si="23">M9+L10</f>
        <v>0</v>
      </c>
      <c r="N10" s="42">
        <f>IF(AND(D10&lt;&gt;"Jour libre 4/5",B10&lt;&gt;"Sa",B10&lt;&gt;"Di"),SUM(N9,Configuration!$H$41),SUM(N9))</f>
        <v>7.9166666666666625</v>
      </c>
      <c r="O10" s="49" t="str">
        <f t="shared" ref="O10:O38" si="24">IF(M10-N10-$M$4&gt;=0,"+","-")</f>
        <v>-</v>
      </c>
      <c r="P10" s="143">
        <f t="shared" si="17"/>
        <v>7.9166666666666625</v>
      </c>
      <c r="Q10" s="167">
        <f t="shared" si="18"/>
        <v>0</v>
      </c>
      <c r="R10" s="168">
        <f t="shared" si="18"/>
        <v>0</v>
      </c>
      <c r="S10" s="168">
        <f t="shared" si="18"/>
        <v>0</v>
      </c>
      <c r="T10" s="169">
        <f t="shared" si="18"/>
        <v>0</v>
      </c>
      <c r="U10" s="97">
        <f t="shared" si="2"/>
        <v>0</v>
      </c>
      <c r="V10" s="97">
        <f t="shared" si="3"/>
        <v>0</v>
      </c>
      <c r="W10" s="97">
        <f t="shared" si="4"/>
        <v>0</v>
      </c>
      <c r="X10" s="97">
        <f t="shared" si="5"/>
        <v>0</v>
      </c>
      <c r="Y10" s="209"/>
      <c r="Z10" s="210"/>
      <c r="AA10" s="210"/>
      <c r="AB10" s="128">
        <f>IF(AND(D10="Jour férié semaine",((G10-F10)+(I10-H10)+(K10-J10)=0)),VLOOKUP(D10,Systeemgegevens!$J:$K,2,FALSE),0)</f>
        <v>0</v>
      </c>
      <c r="AC10" s="43">
        <f>IF(AND(NOT(ISERROR(FIND("Congé",D10))),ISERROR(FIND("1/2",D10)),ISERROR(FIND("Synd",D10)),ISERROR(FIND("synd",D10)),(G10-F10+I10-H10+K10-J10)=0),VLOOKUP(D10,Systeemgegevens!$J:$K,2,FALSE),IF(AND(NOT(ISERROR(FIND("1/2 Congé + ",D10))),(G10-F10+I10-H10+K10-J10)=0),VLOOKUP(D10,Systeemgegevens!$J:$K,2,FALSE)/2,IF(AND(NOT(ISERROR(FIND("1/2 Congé",D10))),ISERROR(FIND(" + ",D10)),ISERROR(FIND("1/2 Congé Synd.",D10))),VLOOKUP(D10,Systeemgegevens!$J:$K,2,FALSE),0)))</f>
        <v>0</v>
      </c>
      <c r="AD10" s="43">
        <f>IF(AND(OR(D10="1/2 Congé Synd.",D10="Congé Synd."),((G10-F10)+(I10-H10)+(K10-J10)=0)),VLOOKUP(D10,Systeemgegevens!$J:$K,2,FALSE),IF(AND(D10="1/2 Congé + 1/2 synd.",((G10-F10)+(I10-H10)+(K10-J10)=0)),AC10,0))</f>
        <v>0</v>
      </c>
      <c r="AE10" s="43">
        <f>IF(AND(D10="Jour de pont",((G10-F10)+(I10-H10)+(K10-J10)=0)),VLOOKUP(D10,Systeemgegevens!$J:$K,2,FALSE),0)</f>
        <v>0</v>
      </c>
      <c r="AF10" s="43">
        <f>IF(AND(D10="Jour libre 4/5",AND((G10-F10)+(I10-H10)+(K10-J10)=0)),VLOOKUP(D10,Systeemgegevens!$J:$K,2,FALSE),0)</f>
        <v>0</v>
      </c>
      <c r="AG10" s="118">
        <f>IF(AND(D10&lt;&gt;"",SUM(AB10:AF10)=0,D10&lt;&gt;$AB$4,D10&lt;&gt;$AC$4,D10&lt;&gt;$AE$4,D10&lt;&gt;$AF$4),VLOOKUP(D10,Systeemgegevens!$J:$K,2,FALSE),0)</f>
        <v>0</v>
      </c>
      <c r="AH10" s="119">
        <f t="shared" si="6"/>
        <v>0</v>
      </c>
      <c r="AI10" s="101">
        <f t="shared" si="7"/>
        <v>0</v>
      </c>
      <c r="AJ10" s="118">
        <f t="shared" si="19"/>
        <v>0</v>
      </c>
      <c r="AK10" s="119">
        <f t="shared" si="8"/>
        <v>0</v>
      </c>
      <c r="AL10" s="101">
        <f t="shared" si="9"/>
        <v>0</v>
      </c>
      <c r="AM10" s="43">
        <f t="shared" si="20"/>
        <v>0</v>
      </c>
      <c r="AN10" s="118">
        <f t="shared" si="21"/>
        <v>0</v>
      </c>
      <c r="AO10" s="122">
        <f t="shared" si="10"/>
        <v>0</v>
      </c>
      <c r="AP10" s="107">
        <f t="shared" si="11"/>
        <v>0</v>
      </c>
      <c r="AQ10" s="107">
        <f t="shared" si="12"/>
        <v>0</v>
      </c>
      <c r="AR10" s="123">
        <f t="shared" si="13"/>
        <v>0</v>
      </c>
      <c r="AS10" s="124">
        <f t="shared" si="14"/>
        <v>0</v>
      </c>
      <c r="AT10" s="124">
        <f t="shared" si="15"/>
        <v>0</v>
      </c>
      <c r="AU10" s="124">
        <f t="shared" si="16"/>
        <v>0</v>
      </c>
      <c r="AV10" s="117" t="s">
        <v>34</v>
      </c>
      <c r="AW10" s="129">
        <f>IF(($R$41=AV10)*AND($R$42&lt;&gt;""),VLOOKUP($R$42,'Barèmes police'!$H$4:$I$30,2),0)</f>
        <v>0</v>
      </c>
      <c r="AX10" s="16" t="str">
        <f>IF('Types de jours'!F16&lt;&gt;"",'Types de jours'!F16,"")</f>
        <v>1/2 Congé</v>
      </c>
      <c r="AY10" s="144">
        <f>IF(AX10&lt;&gt;"",'Types de jours'!I16,"")</f>
        <v>0.15833333333333333</v>
      </c>
      <c r="AZ10" s="269"/>
      <c r="BA10" s="154"/>
      <c r="BB10" s="154"/>
      <c r="BC10" s="154"/>
      <c r="BD10" s="154"/>
      <c r="BE10" s="154"/>
      <c r="BF10" s="154"/>
    </row>
    <row r="11" spans="1:58" ht="12.75" customHeight="1" x14ac:dyDescent="0.2">
      <c r="A11" s="34"/>
      <c r="B11" s="24" t="str">
        <f t="shared" si="0"/>
        <v>Di</v>
      </c>
      <c r="C11" s="25">
        <f t="shared" si="22"/>
        <v>45508</v>
      </c>
      <c r="D11" s="51"/>
      <c r="E11" s="116"/>
      <c r="F11" s="52"/>
      <c r="G11" s="53"/>
      <c r="H11" s="52"/>
      <c r="I11" s="53"/>
      <c r="J11" s="54"/>
      <c r="K11" s="55"/>
      <c r="L11" s="40">
        <f t="shared" si="1"/>
        <v>0</v>
      </c>
      <c r="M11" s="41">
        <f t="shared" si="23"/>
        <v>0</v>
      </c>
      <c r="N11" s="42">
        <f>IF(AND(D11&lt;&gt;"Jour libre 4/5",B11&lt;&gt;"Sa",B11&lt;&gt;"Di"),SUM(N10,Configuration!$H$41),SUM(N10))</f>
        <v>7.9166666666666625</v>
      </c>
      <c r="O11" s="49" t="str">
        <f t="shared" si="24"/>
        <v>-</v>
      </c>
      <c r="P11" s="143">
        <f t="shared" si="17"/>
        <v>7.9166666666666625</v>
      </c>
      <c r="Q11" s="167">
        <f t="shared" si="18"/>
        <v>0</v>
      </c>
      <c r="R11" s="168">
        <f t="shared" si="18"/>
        <v>0</v>
      </c>
      <c r="S11" s="168">
        <f t="shared" si="18"/>
        <v>0</v>
      </c>
      <c r="T11" s="169">
        <f t="shared" si="18"/>
        <v>0</v>
      </c>
      <c r="U11" s="97">
        <f t="shared" si="2"/>
        <v>0</v>
      </c>
      <c r="V11" s="97">
        <f t="shared" si="3"/>
        <v>0</v>
      </c>
      <c r="W11" s="97">
        <f t="shared" si="4"/>
        <v>0</v>
      </c>
      <c r="X11" s="97">
        <f t="shared" si="5"/>
        <v>0</v>
      </c>
      <c r="Y11" s="209"/>
      <c r="Z11" s="210"/>
      <c r="AA11" s="210"/>
      <c r="AB11" s="128">
        <f>IF(AND(D11="Jour férié semaine",((G11-F11)+(I11-H11)+(K11-J11)=0)),VLOOKUP(D11,Systeemgegevens!$J:$K,2,FALSE),0)</f>
        <v>0</v>
      </c>
      <c r="AC11" s="43">
        <f>IF(AND(NOT(ISERROR(FIND("Congé",D11))),ISERROR(FIND("1/2",D11)),ISERROR(FIND("Synd",D11)),ISERROR(FIND("synd",D11)),(G11-F11+I11-H11+K11-J11)=0),VLOOKUP(D11,Systeemgegevens!$J:$K,2,FALSE),IF(AND(NOT(ISERROR(FIND("1/2 Congé + ",D11))),(G11-F11+I11-H11+K11-J11)=0),VLOOKUP(D11,Systeemgegevens!$J:$K,2,FALSE)/2,IF(AND(NOT(ISERROR(FIND("1/2 Congé",D11))),ISERROR(FIND(" + ",D11)),ISERROR(FIND("1/2 Congé Synd.",D11))),VLOOKUP(D11,Systeemgegevens!$J:$K,2,FALSE),0)))</f>
        <v>0</v>
      </c>
      <c r="AD11" s="43">
        <f>IF(AND(OR(D11="1/2 Congé Synd.",D11="Congé Synd."),((G11-F11)+(I11-H11)+(K11-J11)=0)),VLOOKUP(D11,Systeemgegevens!$J:$K,2,FALSE),IF(AND(D11="1/2 Congé + 1/2 synd.",((G11-F11)+(I11-H11)+(K11-J11)=0)),AC11,0))</f>
        <v>0</v>
      </c>
      <c r="AE11" s="43">
        <f>IF(AND(D11="Jour de pont",((G11-F11)+(I11-H11)+(K11-J11)=0)),VLOOKUP(D11,Systeemgegevens!$J:$K,2,FALSE),0)</f>
        <v>0</v>
      </c>
      <c r="AF11" s="43">
        <f>IF(AND(D11="Jour libre 4/5",AND((G11-F11)+(I11-H11)+(K11-J11)=0)),VLOOKUP(D11,Systeemgegevens!$J:$K,2,FALSE),0)</f>
        <v>0</v>
      </c>
      <c r="AG11" s="118">
        <f>IF(AND(D11&lt;&gt;"",SUM(AB11:AF11)=0,D11&lt;&gt;$AB$4,D11&lt;&gt;$AC$4,D11&lt;&gt;$AE$4,D11&lt;&gt;$AF$4),VLOOKUP(D11,Systeemgegevens!$J:$K,2,FALSE),0)</f>
        <v>0</v>
      </c>
      <c r="AH11" s="119">
        <f t="shared" si="6"/>
        <v>0</v>
      </c>
      <c r="AI11" s="101">
        <f t="shared" si="7"/>
        <v>0</v>
      </c>
      <c r="AJ11" s="118">
        <f t="shared" si="19"/>
        <v>0</v>
      </c>
      <c r="AK11" s="119">
        <f t="shared" si="8"/>
        <v>0</v>
      </c>
      <c r="AL11" s="101">
        <f t="shared" si="9"/>
        <v>0</v>
      </c>
      <c r="AM11" s="43">
        <f t="shared" si="20"/>
        <v>0</v>
      </c>
      <c r="AN11" s="118">
        <f t="shared" si="21"/>
        <v>0</v>
      </c>
      <c r="AO11" s="122">
        <f t="shared" si="10"/>
        <v>0</v>
      </c>
      <c r="AP11" s="107">
        <f t="shared" si="11"/>
        <v>0</v>
      </c>
      <c r="AQ11" s="107">
        <f t="shared" si="12"/>
        <v>0</v>
      </c>
      <c r="AR11" s="123">
        <f t="shared" si="13"/>
        <v>0</v>
      </c>
      <c r="AS11" s="124">
        <f t="shared" si="14"/>
        <v>0</v>
      </c>
      <c r="AT11" s="124">
        <f t="shared" si="15"/>
        <v>0</v>
      </c>
      <c r="AU11" s="124">
        <f t="shared" si="16"/>
        <v>0</v>
      </c>
      <c r="AV11" s="117" t="s">
        <v>268</v>
      </c>
      <c r="AW11" s="129">
        <f>IF(($R$41=AV11)*AND($R$42&lt;&gt;""),VLOOKUP($R$42,'Barèmes police'!$K$4:$L$30,2),0)</f>
        <v>0</v>
      </c>
      <c r="AX11" s="16" t="str">
        <f>IF('Types de jours'!F17&lt;&gt;"",'Types de jours'!F17,"")</f>
        <v>Malade</v>
      </c>
      <c r="AY11" s="144">
        <f>IF(AX11&lt;&gt;"",'Types de jours'!I17,"")</f>
        <v>0.31666666666666665</v>
      </c>
      <c r="AZ11" s="269"/>
      <c r="BA11" s="154"/>
      <c r="BB11" s="154"/>
      <c r="BC11" s="154"/>
      <c r="BD11" s="154"/>
      <c r="BE11" s="154"/>
      <c r="BF11" s="154"/>
    </row>
    <row r="12" spans="1:58" ht="12.75" customHeight="1" x14ac:dyDescent="0.2">
      <c r="A12" s="34"/>
      <c r="B12" s="24" t="str">
        <f t="shared" si="0"/>
        <v>Lu</v>
      </c>
      <c r="C12" s="25">
        <f t="shared" si="22"/>
        <v>45509</v>
      </c>
      <c r="D12" s="51"/>
      <c r="E12" s="116"/>
      <c r="F12" s="52"/>
      <c r="G12" s="53"/>
      <c r="H12" s="52"/>
      <c r="I12" s="53"/>
      <c r="J12" s="54"/>
      <c r="K12" s="55"/>
      <c r="L12" s="40">
        <f t="shared" si="1"/>
        <v>0</v>
      </c>
      <c r="M12" s="41">
        <f t="shared" si="23"/>
        <v>0</v>
      </c>
      <c r="N12" s="42">
        <f>IF(AND(D12&lt;&gt;"Jour libre 4/5",B12&lt;&gt;"Sa",B12&lt;&gt;"Di"),SUM(N11,Configuration!$H$41),SUM(N11))</f>
        <v>8.233333333333329</v>
      </c>
      <c r="O12" s="49" t="str">
        <f t="shared" si="24"/>
        <v>-</v>
      </c>
      <c r="P12" s="143">
        <f t="shared" si="17"/>
        <v>8.233333333333329</v>
      </c>
      <c r="Q12" s="167">
        <f t="shared" si="18"/>
        <v>0</v>
      </c>
      <c r="R12" s="168">
        <f t="shared" si="18"/>
        <v>0</v>
      </c>
      <c r="S12" s="168">
        <f t="shared" si="18"/>
        <v>0</v>
      </c>
      <c r="T12" s="169">
        <f t="shared" si="18"/>
        <v>0</v>
      </c>
      <c r="U12" s="97">
        <f t="shared" si="2"/>
        <v>0</v>
      </c>
      <c r="V12" s="97">
        <f t="shared" si="3"/>
        <v>0</v>
      </c>
      <c r="W12" s="97">
        <f t="shared" si="4"/>
        <v>0</v>
      </c>
      <c r="X12" s="97">
        <f t="shared" si="5"/>
        <v>0</v>
      </c>
      <c r="Y12" s="209"/>
      <c r="Z12" s="210"/>
      <c r="AA12" s="210"/>
      <c r="AB12" s="128">
        <f>IF(AND(D12="Jour férié semaine",((G12-F12)+(I12-H12)+(K12-J12)=0)),VLOOKUP(D12,Systeemgegevens!$J:$K,2,FALSE),0)</f>
        <v>0</v>
      </c>
      <c r="AC12" s="43">
        <f>IF(AND(NOT(ISERROR(FIND("Congé",D12))),ISERROR(FIND("1/2",D12)),ISERROR(FIND("Synd",D12)),ISERROR(FIND("synd",D12)),(G12-F12+I12-H12+K12-J12)=0),VLOOKUP(D12,Systeemgegevens!$J:$K,2,FALSE),IF(AND(NOT(ISERROR(FIND("1/2 Congé + ",D12))),(G12-F12+I12-H12+K12-J12)=0),VLOOKUP(D12,Systeemgegevens!$J:$K,2,FALSE)/2,IF(AND(NOT(ISERROR(FIND("1/2 Congé",D12))),ISERROR(FIND(" + ",D12)),ISERROR(FIND("1/2 Congé Synd.",D12))),VLOOKUP(D12,Systeemgegevens!$J:$K,2,FALSE),0)))</f>
        <v>0</v>
      </c>
      <c r="AD12" s="43">
        <f>IF(AND(OR(D12="1/2 Congé Synd.",D12="Congé Synd."),((G12-F12)+(I12-H12)+(K12-J12)=0)),VLOOKUP(D12,Systeemgegevens!$J:$K,2,FALSE),IF(AND(D12="1/2 Congé + 1/2 synd.",((G12-F12)+(I12-H12)+(K12-J12)=0)),AC12,0))</f>
        <v>0</v>
      </c>
      <c r="AE12" s="43">
        <f>IF(AND(D12="Jour de pont",((G12-F12)+(I12-H12)+(K12-J12)=0)),VLOOKUP(D12,Systeemgegevens!$J:$K,2,FALSE),0)</f>
        <v>0</v>
      </c>
      <c r="AF12" s="43">
        <f>IF(AND(D12="Jour libre 4/5",AND((G12-F12)+(I12-H12)+(K12-J12)=0)),VLOOKUP(D12,Systeemgegevens!$J:$K,2,FALSE),0)</f>
        <v>0</v>
      </c>
      <c r="AG12" s="118">
        <f>IF(AND(D12&lt;&gt;"",SUM(AB12:AF12)=0,D12&lt;&gt;$AB$4,D12&lt;&gt;$AC$4,D12&lt;&gt;$AE$4,D12&lt;&gt;$AF$4),VLOOKUP(D12,Systeemgegevens!$J:$K,2,FALSE),0)</f>
        <v>0</v>
      </c>
      <c r="AH12" s="119">
        <f t="shared" si="6"/>
        <v>0</v>
      </c>
      <c r="AI12" s="101">
        <f t="shared" si="7"/>
        <v>0</v>
      </c>
      <c r="AJ12" s="118">
        <f t="shared" si="19"/>
        <v>0</v>
      </c>
      <c r="AK12" s="119">
        <f t="shared" si="8"/>
        <v>0</v>
      </c>
      <c r="AL12" s="101">
        <f t="shared" si="9"/>
        <v>0</v>
      </c>
      <c r="AM12" s="43">
        <f t="shared" si="20"/>
        <v>0</v>
      </c>
      <c r="AN12" s="118">
        <f t="shared" si="21"/>
        <v>0</v>
      </c>
      <c r="AO12" s="122">
        <f t="shared" si="10"/>
        <v>0</v>
      </c>
      <c r="AP12" s="107">
        <f t="shared" si="11"/>
        <v>0</v>
      </c>
      <c r="AQ12" s="107">
        <f t="shared" si="12"/>
        <v>0</v>
      </c>
      <c r="AR12" s="123">
        <f t="shared" si="13"/>
        <v>0</v>
      </c>
      <c r="AS12" s="124">
        <f t="shared" si="14"/>
        <v>0</v>
      </c>
      <c r="AT12" s="124">
        <f t="shared" si="15"/>
        <v>0</v>
      </c>
      <c r="AU12" s="124">
        <f t="shared" si="16"/>
        <v>0</v>
      </c>
      <c r="AV12" s="117" t="s">
        <v>33</v>
      </c>
      <c r="AW12" s="129">
        <f>IF(($R$41=AV12)*AND($R$42&lt;&gt;""),VLOOKUP($R$42,'Barèmes police'!$N$4:$O$30,2),0)</f>
        <v>0</v>
      </c>
      <c r="AX12" s="16" t="str">
        <f>IF('Types de jours'!F18&lt;&gt;"",'Types de jours'!F18,"")</f>
        <v>Acc. de travail</v>
      </c>
      <c r="AY12" s="144">
        <f>IF(AX12&lt;&gt;"",'Types de jours'!I18,"")</f>
        <v>0.31666666666666665</v>
      </c>
      <c r="AZ12" s="269"/>
      <c r="BA12" s="154"/>
      <c r="BB12" s="154"/>
      <c r="BC12" s="154"/>
      <c r="BD12" s="154"/>
      <c r="BE12" s="154"/>
      <c r="BF12" s="154"/>
    </row>
    <row r="13" spans="1:58" ht="12.75" customHeight="1" x14ac:dyDescent="0.2">
      <c r="A13" s="34"/>
      <c r="B13" s="24" t="str">
        <f t="shared" si="0"/>
        <v>Ma</v>
      </c>
      <c r="C13" s="25">
        <f t="shared" si="22"/>
        <v>45510</v>
      </c>
      <c r="D13" s="51"/>
      <c r="E13" s="116"/>
      <c r="F13" s="52"/>
      <c r="G13" s="53"/>
      <c r="H13" s="52"/>
      <c r="I13" s="53"/>
      <c r="J13" s="54"/>
      <c r="K13" s="55"/>
      <c r="L13" s="40">
        <f t="shared" si="1"/>
        <v>0</v>
      </c>
      <c r="M13" s="41">
        <f t="shared" si="23"/>
        <v>0</v>
      </c>
      <c r="N13" s="42">
        <f>IF(AND(D13&lt;&gt;"Jour libre 4/5",B13&lt;&gt;"Sa",B13&lt;&gt;"Di"),SUM(N12,Configuration!$H$41),SUM(N12))</f>
        <v>8.5499999999999954</v>
      </c>
      <c r="O13" s="49" t="str">
        <f t="shared" si="24"/>
        <v>-</v>
      </c>
      <c r="P13" s="143">
        <f t="shared" si="17"/>
        <v>8.5499999999999954</v>
      </c>
      <c r="Q13" s="167">
        <f t="shared" si="18"/>
        <v>0</v>
      </c>
      <c r="R13" s="168">
        <f t="shared" si="18"/>
        <v>0</v>
      </c>
      <c r="S13" s="168">
        <f t="shared" si="18"/>
        <v>0</v>
      </c>
      <c r="T13" s="169">
        <f t="shared" si="18"/>
        <v>0</v>
      </c>
      <c r="U13" s="97">
        <f t="shared" si="2"/>
        <v>0</v>
      </c>
      <c r="V13" s="97">
        <f t="shared" si="3"/>
        <v>0</v>
      </c>
      <c r="W13" s="97">
        <f t="shared" si="4"/>
        <v>0</v>
      </c>
      <c r="X13" s="97">
        <f t="shared" si="5"/>
        <v>0</v>
      </c>
      <c r="Y13" s="209"/>
      <c r="Z13" s="210"/>
      <c r="AA13" s="210"/>
      <c r="AB13" s="128">
        <f>IF(AND(D13="Jour férié semaine",((G13-F13)+(I13-H13)+(K13-J13)=0)),VLOOKUP(D13,Systeemgegevens!$J:$K,2,FALSE),0)</f>
        <v>0</v>
      </c>
      <c r="AC13" s="43">
        <f>IF(AND(NOT(ISERROR(FIND("Congé",D13))),ISERROR(FIND("1/2",D13)),ISERROR(FIND("Synd",D13)),ISERROR(FIND("synd",D13)),(G13-F13+I13-H13+K13-J13)=0),VLOOKUP(D13,Systeemgegevens!$J:$K,2,FALSE),IF(AND(NOT(ISERROR(FIND("1/2 Congé + ",D13))),(G13-F13+I13-H13+K13-J13)=0),VLOOKUP(D13,Systeemgegevens!$J:$K,2,FALSE)/2,IF(AND(NOT(ISERROR(FIND("1/2 Congé",D13))),ISERROR(FIND(" + ",D13)),ISERROR(FIND("1/2 Congé Synd.",D13))),VLOOKUP(D13,Systeemgegevens!$J:$K,2,FALSE),0)))</f>
        <v>0</v>
      </c>
      <c r="AD13" s="43">
        <f>IF(AND(OR(D13="1/2 Congé Synd.",D13="Congé Synd."),((G13-F13)+(I13-H13)+(K13-J13)=0)),VLOOKUP(D13,Systeemgegevens!$J:$K,2,FALSE),IF(AND(D13="1/2 Congé + 1/2 synd.",((G13-F13)+(I13-H13)+(K13-J13)=0)),AC13,0))</f>
        <v>0</v>
      </c>
      <c r="AE13" s="43">
        <f>IF(AND(D13="Jour de pont",((G13-F13)+(I13-H13)+(K13-J13)=0)),VLOOKUP(D13,Systeemgegevens!$J:$K,2,FALSE),0)</f>
        <v>0</v>
      </c>
      <c r="AF13" s="43">
        <f>IF(AND(D13="Jour libre 4/5",AND((G13-F13)+(I13-H13)+(K13-J13)=0)),VLOOKUP(D13,Systeemgegevens!$J:$K,2,FALSE),0)</f>
        <v>0</v>
      </c>
      <c r="AG13" s="118">
        <f>IF(AND(D13&lt;&gt;"",SUM(AB13:AF13)=0,D13&lt;&gt;$AB$4,D13&lt;&gt;$AC$4,D13&lt;&gt;$AE$4,D13&lt;&gt;$AF$4),VLOOKUP(D13,Systeemgegevens!$J:$K,2,FALSE),0)</f>
        <v>0</v>
      </c>
      <c r="AH13" s="119">
        <f t="shared" si="6"/>
        <v>0</v>
      </c>
      <c r="AI13" s="101">
        <f t="shared" si="7"/>
        <v>0</v>
      </c>
      <c r="AJ13" s="118">
        <f t="shared" si="19"/>
        <v>0</v>
      </c>
      <c r="AK13" s="119">
        <f t="shared" si="8"/>
        <v>0</v>
      </c>
      <c r="AL13" s="101">
        <f t="shared" si="9"/>
        <v>0</v>
      </c>
      <c r="AM13" s="43">
        <f t="shared" si="20"/>
        <v>0</v>
      </c>
      <c r="AN13" s="118">
        <f t="shared" si="21"/>
        <v>0</v>
      </c>
      <c r="AO13" s="122">
        <f t="shared" si="10"/>
        <v>0</v>
      </c>
      <c r="AP13" s="107">
        <f t="shared" si="11"/>
        <v>0</v>
      </c>
      <c r="AQ13" s="107">
        <f t="shared" si="12"/>
        <v>0</v>
      </c>
      <c r="AR13" s="123">
        <f t="shared" si="13"/>
        <v>0</v>
      </c>
      <c r="AS13" s="124">
        <f t="shared" si="14"/>
        <v>0</v>
      </c>
      <c r="AT13" s="124">
        <f t="shared" si="15"/>
        <v>0</v>
      </c>
      <c r="AU13" s="124">
        <f t="shared" si="16"/>
        <v>0</v>
      </c>
      <c r="AV13" s="117" t="s">
        <v>32</v>
      </c>
      <c r="AW13" s="129">
        <f>IF(($R$41=AV13)*AND($R$42&lt;&gt;""),VLOOKUP($R$42,'Barèmes police'!$Q$4:$R$30,2),0)</f>
        <v>0</v>
      </c>
      <c r="AX13" s="16" t="str">
        <f>IF('Types de jours'!F19&lt;&gt;"",'Types de jours'!F19,"")</f>
        <v>Congé Synd.</v>
      </c>
      <c r="AY13" s="144">
        <f>IF(AX13&lt;&gt;"",'Types de jours'!I19,"")</f>
        <v>0.31666666666666665</v>
      </c>
      <c r="AZ13" s="269"/>
      <c r="BA13" s="154"/>
      <c r="BB13" s="154"/>
      <c r="BC13" s="154"/>
      <c r="BD13" s="154"/>
      <c r="BE13" s="154"/>
      <c r="BF13" s="154"/>
    </row>
    <row r="14" spans="1:58" ht="12.75" customHeight="1" x14ac:dyDescent="0.2">
      <c r="A14" s="34"/>
      <c r="B14" s="24" t="str">
        <f t="shared" si="0"/>
        <v>Me</v>
      </c>
      <c r="C14" s="25">
        <f t="shared" si="22"/>
        <v>45511</v>
      </c>
      <c r="D14" s="51"/>
      <c r="E14" s="116"/>
      <c r="F14" s="52"/>
      <c r="G14" s="53"/>
      <c r="H14" s="52"/>
      <c r="I14" s="53"/>
      <c r="J14" s="54"/>
      <c r="K14" s="55"/>
      <c r="L14" s="40">
        <f t="shared" si="1"/>
        <v>0</v>
      </c>
      <c r="M14" s="41">
        <f t="shared" si="23"/>
        <v>0</v>
      </c>
      <c r="N14" s="42">
        <f>IF(AND(D14&lt;&gt;"Jour libre 4/5",B14&lt;&gt;"Sa",B14&lt;&gt;"Di"),SUM(N13,Configuration!$H$41),SUM(N13))</f>
        <v>8.8666666666666618</v>
      </c>
      <c r="O14" s="49" t="str">
        <f t="shared" si="24"/>
        <v>-</v>
      </c>
      <c r="P14" s="143">
        <f t="shared" si="17"/>
        <v>8.8666666666666618</v>
      </c>
      <c r="Q14" s="167">
        <f t="shared" si="18"/>
        <v>0</v>
      </c>
      <c r="R14" s="168">
        <f t="shared" si="18"/>
        <v>0</v>
      </c>
      <c r="S14" s="168">
        <f t="shared" si="18"/>
        <v>0</v>
      </c>
      <c r="T14" s="169">
        <f t="shared" si="18"/>
        <v>0</v>
      </c>
      <c r="U14" s="97">
        <f t="shared" si="2"/>
        <v>0</v>
      </c>
      <c r="V14" s="97">
        <f t="shared" si="3"/>
        <v>0</v>
      </c>
      <c r="W14" s="97">
        <f t="shared" si="4"/>
        <v>0</v>
      </c>
      <c r="X14" s="97">
        <f t="shared" si="5"/>
        <v>0</v>
      </c>
      <c r="Y14" s="209"/>
      <c r="Z14" s="210"/>
      <c r="AA14" s="210"/>
      <c r="AB14" s="128">
        <f>IF(AND(D14="Jour férié semaine",((G14-F14)+(I14-H14)+(K14-J14)=0)),VLOOKUP(D14,Systeemgegevens!$J:$K,2,FALSE),0)</f>
        <v>0</v>
      </c>
      <c r="AC14" s="43">
        <f>IF(AND(NOT(ISERROR(FIND("Congé",D14))),ISERROR(FIND("1/2",D14)),ISERROR(FIND("Synd",D14)),ISERROR(FIND("synd",D14)),(G14-F14+I14-H14+K14-J14)=0),VLOOKUP(D14,Systeemgegevens!$J:$K,2,FALSE),IF(AND(NOT(ISERROR(FIND("1/2 Congé + ",D14))),(G14-F14+I14-H14+K14-J14)=0),VLOOKUP(D14,Systeemgegevens!$J:$K,2,FALSE)/2,IF(AND(NOT(ISERROR(FIND("1/2 Congé",D14))),ISERROR(FIND(" + ",D14)),ISERROR(FIND("1/2 Congé Synd.",D14))),VLOOKUP(D14,Systeemgegevens!$J:$K,2,FALSE),0)))</f>
        <v>0</v>
      </c>
      <c r="AD14" s="43">
        <f>IF(AND(OR(D14="1/2 Congé Synd.",D14="Congé Synd."),((G14-F14)+(I14-H14)+(K14-J14)=0)),VLOOKUP(D14,Systeemgegevens!$J:$K,2,FALSE),IF(AND(D14="1/2 Congé + 1/2 synd.",((G14-F14)+(I14-H14)+(K14-J14)=0)),AC14,0))</f>
        <v>0</v>
      </c>
      <c r="AE14" s="43">
        <f>IF(AND(D14="Jour de pont",((G14-F14)+(I14-H14)+(K14-J14)=0)),VLOOKUP(D14,Systeemgegevens!$J:$K,2,FALSE),0)</f>
        <v>0</v>
      </c>
      <c r="AF14" s="43">
        <f>IF(AND(D14="Jour libre 4/5",AND((G14-F14)+(I14-H14)+(K14-J14)=0)),VLOOKUP(D14,Systeemgegevens!$J:$K,2,FALSE),0)</f>
        <v>0</v>
      </c>
      <c r="AG14" s="118">
        <f>IF(AND(D14&lt;&gt;"",SUM(AB14:AF14)=0,D14&lt;&gt;$AB$4,D14&lt;&gt;$AC$4,D14&lt;&gt;$AE$4,D14&lt;&gt;$AF$4),VLOOKUP(D14,Systeemgegevens!$J:$K,2,FALSE),0)</f>
        <v>0</v>
      </c>
      <c r="AH14" s="119">
        <f t="shared" si="6"/>
        <v>0</v>
      </c>
      <c r="AI14" s="101">
        <f t="shared" si="7"/>
        <v>0</v>
      </c>
      <c r="AJ14" s="118">
        <f t="shared" si="19"/>
        <v>0</v>
      </c>
      <c r="AK14" s="119">
        <f t="shared" si="8"/>
        <v>0</v>
      </c>
      <c r="AL14" s="101">
        <f t="shared" si="9"/>
        <v>0</v>
      </c>
      <c r="AM14" s="43">
        <f t="shared" si="20"/>
        <v>0</v>
      </c>
      <c r="AN14" s="118">
        <f t="shared" si="21"/>
        <v>0</v>
      </c>
      <c r="AO14" s="122">
        <f t="shared" si="10"/>
        <v>0</v>
      </c>
      <c r="AP14" s="107">
        <f t="shared" si="11"/>
        <v>0</v>
      </c>
      <c r="AQ14" s="107">
        <f t="shared" si="12"/>
        <v>0</v>
      </c>
      <c r="AR14" s="123">
        <f t="shared" si="13"/>
        <v>0</v>
      </c>
      <c r="AS14" s="124">
        <f t="shared" si="14"/>
        <v>0</v>
      </c>
      <c r="AT14" s="124">
        <f t="shared" si="15"/>
        <v>0</v>
      </c>
      <c r="AU14" s="124">
        <f t="shared" si="16"/>
        <v>0</v>
      </c>
      <c r="AV14" s="117" t="s">
        <v>31</v>
      </c>
      <c r="AW14" s="129">
        <f>IF(($R$41=AV14)*AND($R$42&lt;&gt;""),VLOOKUP($R$42,'Barèmes police'!$T$4:$U$30,2),0)</f>
        <v>0</v>
      </c>
      <c r="AX14" s="16" t="str">
        <f>IF('Types de jours'!F20&lt;&gt;"",'Types de jours'!F20,"")</f>
        <v>1/2 Congé Synd.</v>
      </c>
      <c r="AY14" s="144">
        <f>IF(AX14&lt;&gt;"",'Types de jours'!I20,"")</f>
        <v>0.15833333333333333</v>
      </c>
      <c r="AZ14" s="269"/>
      <c r="BA14" s="154"/>
      <c r="BB14" s="154"/>
      <c r="BC14" s="154"/>
      <c r="BD14" s="154"/>
      <c r="BE14" s="154"/>
      <c r="BF14" s="154"/>
    </row>
    <row r="15" spans="1:58" ht="12.75" customHeight="1" x14ac:dyDescent="0.2">
      <c r="A15" s="34"/>
      <c r="B15" s="24" t="str">
        <f t="shared" si="0"/>
        <v>Je</v>
      </c>
      <c r="C15" s="25">
        <f t="shared" si="22"/>
        <v>45512</v>
      </c>
      <c r="D15" s="51"/>
      <c r="E15" s="116"/>
      <c r="F15" s="52"/>
      <c r="G15" s="53"/>
      <c r="H15" s="52"/>
      <c r="I15" s="53"/>
      <c r="J15" s="54"/>
      <c r="K15" s="55"/>
      <c r="L15" s="40">
        <f t="shared" si="1"/>
        <v>0</v>
      </c>
      <c r="M15" s="41">
        <f t="shared" si="23"/>
        <v>0</v>
      </c>
      <c r="N15" s="42">
        <f>IF(AND(D15&lt;&gt;"Jour libre 4/5",B15&lt;&gt;"Sa",B15&lt;&gt;"Di"),SUM(N14,Configuration!$H$41),SUM(N14))</f>
        <v>9.1833333333333282</v>
      </c>
      <c r="O15" s="49" t="str">
        <f t="shared" si="24"/>
        <v>-</v>
      </c>
      <c r="P15" s="143">
        <f t="shared" si="17"/>
        <v>9.1833333333333282</v>
      </c>
      <c r="Q15" s="167">
        <f t="shared" si="18"/>
        <v>0</v>
      </c>
      <c r="R15" s="168">
        <f t="shared" si="18"/>
        <v>0</v>
      </c>
      <c r="S15" s="168">
        <f t="shared" si="18"/>
        <v>0</v>
      </c>
      <c r="T15" s="169">
        <f t="shared" si="18"/>
        <v>0</v>
      </c>
      <c r="U15" s="97">
        <f t="shared" si="2"/>
        <v>0</v>
      </c>
      <c r="V15" s="97">
        <f t="shared" si="3"/>
        <v>0</v>
      </c>
      <c r="W15" s="97">
        <f t="shared" si="4"/>
        <v>0</v>
      </c>
      <c r="X15" s="97">
        <f t="shared" si="5"/>
        <v>0</v>
      </c>
      <c r="Y15" s="209"/>
      <c r="Z15" s="210"/>
      <c r="AA15" s="210"/>
      <c r="AB15" s="128">
        <f>IF(AND(D15="Jour férié semaine",((G15-F15)+(I15-H15)+(K15-J15)=0)),VLOOKUP(D15,Systeemgegevens!$J:$K,2,FALSE),0)</f>
        <v>0</v>
      </c>
      <c r="AC15" s="43">
        <f>IF(AND(NOT(ISERROR(FIND("Congé",D15))),ISERROR(FIND("1/2",D15)),ISERROR(FIND("Synd",D15)),ISERROR(FIND("synd",D15)),(G15-F15+I15-H15+K15-J15)=0),VLOOKUP(D15,Systeemgegevens!$J:$K,2,FALSE),IF(AND(NOT(ISERROR(FIND("1/2 Congé + ",D15))),(G15-F15+I15-H15+K15-J15)=0),VLOOKUP(D15,Systeemgegevens!$J:$K,2,FALSE)/2,IF(AND(NOT(ISERROR(FIND("1/2 Congé",D15))),ISERROR(FIND(" + ",D15)),ISERROR(FIND("1/2 Congé Synd.",D15))),VLOOKUP(D15,Systeemgegevens!$J:$K,2,FALSE),0)))</f>
        <v>0</v>
      </c>
      <c r="AD15" s="43">
        <f>IF(AND(OR(D15="1/2 Congé Synd.",D15="Congé Synd."),((G15-F15)+(I15-H15)+(K15-J15)=0)),VLOOKUP(D15,Systeemgegevens!$J:$K,2,FALSE),IF(AND(D15="1/2 Congé + 1/2 synd.",((G15-F15)+(I15-H15)+(K15-J15)=0)),AC15,0))</f>
        <v>0</v>
      </c>
      <c r="AE15" s="43">
        <f>IF(AND(D15="Jour de pont",((G15-F15)+(I15-H15)+(K15-J15)=0)),VLOOKUP(D15,Systeemgegevens!$J:$K,2,FALSE),0)</f>
        <v>0</v>
      </c>
      <c r="AF15" s="43">
        <f>IF(AND(D15="Jour libre 4/5",AND((G15-F15)+(I15-H15)+(K15-J15)=0)),VLOOKUP(D15,Systeemgegevens!$J:$K,2,FALSE),0)</f>
        <v>0</v>
      </c>
      <c r="AG15" s="118">
        <f>IF(AND(D15&lt;&gt;"",SUM(AB15:AF15)=0,D15&lt;&gt;$AB$4,D15&lt;&gt;$AC$4,D15&lt;&gt;$AE$4,D15&lt;&gt;$AF$4),VLOOKUP(D15,Systeemgegevens!$J:$K,2,FALSE),0)</f>
        <v>0</v>
      </c>
      <c r="AH15" s="119">
        <f t="shared" si="6"/>
        <v>0</v>
      </c>
      <c r="AI15" s="101">
        <f t="shared" si="7"/>
        <v>0</v>
      </c>
      <c r="AJ15" s="118">
        <f t="shared" si="19"/>
        <v>0</v>
      </c>
      <c r="AK15" s="119">
        <f t="shared" si="8"/>
        <v>0</v>
      </c>
      <c r="AL15" s="101">
        <f t="shared" si="9"/>
        <v>0</v>
      </c>
      <c r="AM15" s="43">
        <f t="shared" si="20"/>
        <v>0</v>
      </c>
      <c r="AN15" s="118">
        <f t="shared" si="21"/>
        <v>0</v>
      </c>
      <c r="AO15" s="122">
        <f t="shared" si="10"/>
        <v>0</v>
      </c>
      <c r="AP15" s="107">
        <f t="shared" si="11"/>
        <v>0</v>
      </c>
      <c r="AQ15" s="107">
        <f t="shared" si="12"/>
        <v>0</v>
      </c>
      <c r="AR15" s="123">
        <f t="shared" si="13"/>
        <v>0</v>
      </c>
      <c r="AS15" s="124">
        <f t="shared" si="14"/>
        <v>0</v>
      </c>
      <c r="AT15" s="124">
        <f t="shared" si="15"/>
        <v>0</v>
      </c>
      <c r="AU15" s="124">
        <f t="shared" si="16"/>
        <v>0</v>
      </c>
      <c r="AV15" s="117" t="s">
        <v>30</v>
      </c>
      <c r="AW15" s="129">
        <f>IF(($R$41=AV15)*AND($R$42&lt;&gt;""),VLOOKUP($R$42,'Barèmes police'!$W$4:$X$30,2),0)</f>
        <v>0</v>
      </c>
      <c r="AX15" s="16" t="str">
        <f>IF('Types de jours'!F21&lt;&gt;"",'Types de jours'!F21,"")</f>
        <v>1/2 Congé + 1/2 synd.</v>
      </c>
      <c r="AY15" s="144">
        <f>IF(AX15&lt;&gt;"",'Types de jours'!I21,"")</f>
        <v>0.31666666666666665</v>
      </c>
      <c r="AZ15" s="269"/>
      <c r="BA15" s="154"/>
      <c r="BB15" s="154"/>
      <c r="BC15" s="154"/>
      <c r="BD15" s="154"/>
      <c r="BE15" s="154"/>
      <c r="BF15" s="154"/>
    </row>
    <row r="16" spans="1:58" ht="12.75" customHeight="1" x14ac:dyDescent="0.2">
      <c r="A16" s="34"/>
      <c r="B16" s="24" t="str">
        <f t="shared" si="0"/>
        <v>Ve</v>
      </c>
      <c r="C16" s="25">
        <f t="shared" si="22"/>
        <v>45513</v>
      </c>
      <c r="D16" s="51"/>
      <c r="E16" s="116"/>
      <c r="F16" s="52"/>
      <c r="G16" s="53"/>
      <c r="H16" s="52"/>
      <c r="I16" s="53"/>
      <c r="J16" s="54"/>
      <c r="K16" s="55"/>
      <c r="L16" s="40">
        <f t="shared" si="1"/>
        <v>0</v>
      </c>
      <c r="M16" s="41">
        <f t="shared" si="23"/>
        <v>0</v>
      </c>
      <c r="N16" s="42">
        <f>IF(AND(D16&lt;&gt;"Jour libre 4/5",B16&lt;&gt;"Sa",B16&lt;&gt;"Di"),SUM(N15,Configuration!$H$41),SUM(N15))</f>
        <v>9.4999999999999947</v>
      </c>
      <c r="O16" s="49" t="str">
        <f t="shared" si="24"/>
        <v>-</v>
      </c>
      <c r="P16" s="143">
        <f t="shared" si="17"/>
        <v>9.4999999999999947</v>
      </c>
      <c r="Q16" s="167">
        <f t="shared" si="18"/>
        <v>0</v>
      </c>
      <c r="R16" s="168">
        <f t="shared" si="18"/>
        <v>0</v>
      </c>
      <c r="S16" s="168">
        <f t="shared" si="18"/>
        <v>0</v>
      </c>
      <c r="T16" s="169">
        <f t="shared" si="18"/>
        <v>0</v>
      </c>
      <c r="U16" s="97">
        <f t="shared" si="2"/>
        <v>0</v>
      </c>
      <c r="V16" s="97">
        <f t="shared" si="3"/>
        <v>0</v>
      </c>
      <c r="W16" s="97">
        <f t="shared" si="4"/>
        <v>0</v>
      </c>
      <c r="X16" s="97">
        <f t="shared" si="5"/>
        <v>0</v>
      </c>
      <c r="Y16" s="209"/>
      <c r="Z16" s="210"/>
      <c r="AA16" s="210"/>
      <c r="AB16" s="128">
        <f>IF(AND(D16="Jour férié semaine",((G16-F16)+(I16-H16)+(K16-J16)=0)),VLOOKUP(D16,Systeemgegevens!$J:$K,2,FALSE),0)</f>
        <v>0</v>
      </c>
      <c r="AC16" s="43">
        <f>IF(AND(NOT(ISERROR(FIND("Congé",D16))),ISERROR(FIND("1/2",D16)),ISERROR(FIND("Synd",D16)),ISERROR(FIND("synd",D16)),(G16-F16+I16-H16+K16-J16)=0),VLOOKUP(D16,Systeemgegevens!$J:$K,2,FALSE),IF(AND(NOT(ISERROR(FIND("1/2 Congé + ",D16))),(G16-F16+I16-H16+K16-J16)=0),VLOOKUP(D16,Systeemgegevens!$J:$K,2,FALSE)/2,IF(AND(NOT(ISERROR(FIND("1/2 Congé",D16))),ISERROR(FIND(" + ",D16)),ISERROR(FIND("1/2 Congé Synd.",D16))),VLOOKUP(D16,Systeemgegevens!$J:$K,2,FALSE),0)))</f>
        <v>0</v>
      </c>
      <c r="AD16" s="43">
        <f>IF(AND(OR(D16="1/2 Congé Synd.",D16="Congé Synd."),((G16-F16)+(I16-H16)+(K16-J16)=0)),VLOOKUP(D16,Systeemgegevens!$J:$K,2,FALSE),IF(AND(D16="1/2 Congé + 1/2 synd.",((G16-F16)+(I16-H16)+(K16-J16)=0)),AC16,0))</f>
        <v>0</v>
      </c>
      <c r="AE16" s="43">
        <f>IF(AND(D16="Jour de pont",((G16-F16)+(I16-H16)+(K16-J16)=0)),VLOOKUP(D16,Systeemgegevens!$J:$K,2,FALSE),0)</f>
        <v>0</v>
      </c>
      <c r="AF16" s="43">
        <f>IF(AND(D16="Jour libre 4/5",AND((G16-F16)+(I16-H16)+(K16-J16)=0)),VLOOKUP(D16,Systeemgegevens!$J:$K,2,FALSE),0)</f>
        <v>0</v>
      </c>
      <c r="AG16" s="118">
        <f>IF(AND(D16&lt;&gt;"",SUM(AB16:AF16)=0,D16&lt;&gt;$AB$4,D16&lt;&gt;$AC$4,D16&lt;&gt;$AE$4,D16&lt;&gt;$AF$4),VLOOKUP(D16,Systeemgegevens!$J:$K,2,FALSE),0)</f>
        <v>0</v>
      </c>
      <c r="AH16" s="119">
        <f t="shared" si="6"/>
        <v>0</v>
      </c>
      <c r="AI16" s="101">
        <f t="shared" si="7"/>
        <v>0</v>
      </c>
      <c r="AJ16" s="118">
        <f t="shared" si="19"/>
        <v>0</v>
      </c>
      <c r="AK16" s="119">
        <f t="shared" si="8"/>
        <v>0</v>
      </c>
      <c r="AL16" s="101">
        <f t="shared" si="9"/>
        <v>0</v>
      </c>
      <c r="AM16" s="43">
        <f t="shared" si="20"/>
        <v>0</v>
      </c>
      <c r="AN16" s="118">
        <f t="shared" si="21"/>
        <v>0</v>
      </c>
      <c r="AO16" s="122">
        <f t="shared" si="10"/>
        <v>0</v>
      </c>
      <c r="AP16" s="107">
        <f t="shared" si="11"/>
        <v>0</v>
      </c>
      <c r="AQ16" s="107">
        <f t="shared" si="12"/>
        <v>0</v>
      </c>
      <c r="AR16" s="123">
        <f t="shared" si="13"/>
        <v>0</v>
      </c>
      <c r="AS16" s="124">
        <f t="shared" si="14"/>
        <v>0</v>
      </c>
      <c r="AT16" s="124">
        <f t="shared" si="15"/>
        <v>0</v>
      </c>
      <c r="AU16" s="124">
        <f t="shared" si="16"/>
        <v>0</v>
      </c>
      <c r="AV16" s="117" t="s">
        <v>29</v>
      </c>
      <c r="AW16" s="129">
        <f>IF(($R$41=AV16)*AND($R$42&lt;&gt;""),VLOOKUP($R$42,'Barèmes police'!$Z$4:$AA$30,2),0)</f>
        <v>0</v>
      </c>
      <c r="AX16" s="16" t="str">
        <f>IF('Types de jours'!F22&lt;&gt;"",'Types de jours'!F22,"")</f>
        <v>Jour férié semaine</v>
      </c>
      <c r="AY16" s="144">
        <f>IF(AX16&lt;&gt;"",'Types de jours'!I22,"")</f>
        <v>0.31666666666666665</v>
      </c>
      <c r="AZ16" s="269"/>
      <c r="BA16" s="154"/>
      <c r="BB16" s="154"/>
      <c r="BC16" s="154"/>
      <c r="BD16" s="154"/>
      <c r="BE16" s="154"/>
      <c r="BF16" s="154"/>
    </row>
    <row r="17" spans="1:58" ht="12.75" customHeight="1" x14ac:dyDescent="0.2">
      <c r="A17" s="34"/>
      <c r="B17" s="24" t="str">
        <f t="shared" si="0"/>
        <v>Sa</v>
      </c>
      <c r="C17" s="25">
        <f t="shared" si="22"/>
        <v>45514</v>
      </c>
      <c r="D17" s="51"/>
      <c r="E17" s="116"/>
      <c r="F17" s="52"/>
      <c r="G17" s="53"/>
      <c r="H17" s="52"/>
      <c r="I17" s="53"/>
      <c r="J17" s="54"/>
      <c r="K17" s="55"/>
      <c r="L17" s="40">
        <f t="shared" si="1"/>
        <v>0</v>
      </c>
      <c r="M17" s="41">
        <f t="shared" si="23"/>
        <v>0</v>
      </c>
      <c r="N17" s="42">
        <f>IF(AND(D17&lt;&gt;"Jour libre 4/5",B17&lt;&gt;"Sa",B17&lt;&gt;"Di"),SUM(N16,Configuration!$H$41),SUM(N16))</f>
        <v>9.4999999999999947</v>
      </c>
      <c r="O17" s="49" t="str">
        <f t="shared" si="24"/>
        <v>-</v>
      </c>
      <c r="P17" s="143">
        <f t="shared" si="17"/>
        <v>9.4999999999999947</v>
      </c>
      <c r="Q17" s="167">
        <f t="shared" si="18"/>
        <v>0</v>
      </c>
      <c r="R17" s="168">
        <f t="shared" si="18"/>
        <v>0</v>
      </c>
      <c r="S17" s="168">
        <f t="shared" si="18"/>
        <v>0</v>
      </c>
      <c r="T17" s="169">
        <f t="shared" si="18"/>
        <v>0</v>
      </c>
      <c r="U17" s="97">
        <f t="shared" si="2"/>
        <v>0</v>
      </c>
      <c r="V17" s="97">
        <f t="shared" si="3"/>
        <v>0</v>
      </c>
      <c r="W17" s="97">
        <f t="shared" si="4"/>
        <v>0</v>
      </c>
      <c r="X17" s="97">
        <f t="shared" si="5"/>
        <v>0</v>
      </c>
      <c r="Y17" s="209"/>
      <c r="Z17" s="210"/>
      <c r="AA17" s="210"/>
      <c r="AB17" s="128">
        <f>IF(AND(D17="Jour férié semaine",((G17-F17)+(I17-H17)+(K17-J17)=0)),VLOOKUP(D17,Systeemgegevens!$J:$K,2,FALSE),0)</f>
        <v>0</v>
      </c>
      <c r="AC17" s="43">
        <f>IF(AND(NOT(ISERROR(FIND("Congé",D17))),ISERROR(FIND("1/2",D17)),ISERROR(FIND("Synd",D17)),ISERROR(FIND("synd",D17)),(G17-F17+I17-H17+K17-J17)=0),VLOOKUP(D17,Systeemgegevens!$J:$K,2,FALSE),IF(AND(NOT(ISERROR(FIND("1/2 Congé + ",D17))),(G17-F17+I17-H17+K17-J17)=0),VLOOKUP(D17,Systeemgegevens!$J:$K,2,FALSE)/2,IF(AND(NOT(ISERROR(FIND("1/2 Congé",D17))),ISERROR(FIND(" + ",D17)),ISERROR(FIND("1/2 Congé Synd.",D17))),VLOOKUP(D17,Systeemgegevens!$J:$K,2,FALSE),0)))</f>
        <v>0</v>
      </c>
      <c r="AD17" s="43">
        <f>IF(AND(OR(D17="1/2 Congé Synd.",D17="Congé Synd."),((G17-F17)+(I17-H17)+(K17-J17)=0)),VLOOKUP(D17,Systeemgegevens!$J:$K,2,FALSE),IF(AND(D17="1/2 Congé + 1/2 synd.",((G17-F17)+(I17-H17)+(K17-J17)=0)),AC17,0))</f>
        <v>0</v>
      </c>
      <c r="AE17" s="43">
        <f>IF(AND(D17="Jour de pont",((G17-F17)+(I17-H17)+(K17-J17)=0)),VLOOKUP(D17,Systeemgegevens!$J:$K,2,FALSE),0)</f>
        <v>0</v>
      </c>
      <c r="AF17" s="43">
        <f>IF(AND(D17="Jour libre 4/5",AND((G17-F17)+(I17-H17)+(K17-J17)=0)),VLOOKUP(D17,Systeemgegevens!$J:$K,2,FALSE),0)</f>
        <v>0</v>
      </c>
      <c r="AG17" s="118">
        <f>IF(AND(D17&lt;&gt;"",SUM(AB17:AF17)=0,D17&lt;&gt;$AB$4,D17&lt;&gt;$AC$4,D17&lt;&gt;$AE$4,D17&lt;&gt;$AF$4),VLOOKUP(D17,Systeemgegevens!$J:$K,2,FALSE),0)</f>
        <v>0</v>
      </c>
      <c r="AH17" s="119">
        <f t="shared" si="6"/>
        <v>0</v>
      </c>
      <c r="AI17" s="101">
        <f t="shared" si="7"/>
        <v>0</v>
      </c>
      <c r="AJ17" s="118">
        <f t="shared" si="19"/>
        <v>0</v>
      </c>
      <c r="AK17" s="119">
        <f t="shared" si="8"/>
        <v>0</v>
      </c>
      <c r="AL17" s="101">
        <f t="shared" si="9"/>
        <v>0</v>
      </c>
      <c r="AM17" s="43">
        <f t="shared" si="20"/>
        <v>0</v>
      </c>
      <c r="AN17" s="118">
        <f t="shared" si="21"/>
        <v>0</v>
      </c>
      <c r="AO17" s="122">
        <f t="shared" si="10"/>
        <v>0</v>
      </c>
      <c r="AP17" s="107">
        <f t="shared" si="11"/>
        <v>0</v>
      </c>
      <c r="AQ17" s="107">
        <f t="shared" si="12"/>
        <v>0</v>
      </c>
      <c r="AR17" s="123">
        <f t="shared" si="13"/>
        <v>0</v>
      </c>
      <c r="AS17" s="124">
        <f t="shared" si="14"/>
        <v>0</v>
      </c>
      <c r="AT17" s="124">
        <f t="shared" si="15"/>
        <v>0</v>
      </c>
      <c r="AU17" s="124">
        <f t="shared" si="16"/>
        <v>0</v>
      </c>
      <c r="AV17" s="117" t="s">
        <v>28</v>
      </c>
      <c r="AW17" s="129">
        <f>IF(($R$41=AV17)*AND($R$42&lt;&gt;""),VLOOKUP($R$42,'Barèmes police'!$AC$4:$AD$30,2),0)</f>
        <v>0</v>
      </c>
      <c r="AX17" s="16" t="str">
        <f>IF('Types de jours'!F23&lt;&gt;"",'Types de jours'!F23,"")</f>
        <v>Jour libre 4/5</v>
      </c>
      <c r="AY17" s="144">
        <f>IF(AX17&lt;&gt;"",'Types de jours'!I23,"")</f>
        <v>0</v>
      </c>
      <c r="AZ17" s="269"/>
      <c r="BA17" s="154"/>
      <c r="BB17" s="154"/>
      <c r="BC17" s="154"/>
      <c r="BD17" s="154"/>
      <c r="BE17" s="154"/>
      <c r="BF17" s="154"/>
    </row>
    <row r="18" spans="1:58" ht="12.75" customHeight="1" x14ac:dyDescent="0.2">
      <c r="A18" s="34"/>
      <c r="B18" s="24" t="str">
        <f t="shared" si="0"/>
        <v>Di</v>
      </c>
      <c r="C18" s="25">
        <f t="shared" si="22"/>
        <v>45515</v>
      </c>
      <c r="D18" s="51"/>
      <c r="E18" s="116"/>
      <c r="F18" s="52"/>
      <c r="G18" s="53"/>
      <c r="H18" s="52"/>
      <c r="I18" s="53"/>
      <c r="J18" s="54"/>
      <c r="K18" s="55"/>
      <c r="L18" s="40">
        <f t="shared" si="1"/>
        <v>0</v>
      </c>
      <c r="M18" s="41">
        <f t="shared" si="23"/>
        <v>0</v>
      </c>
      <c r="N18" s="42">
        <f>IF(AND(D18&lt;&gt;"Jour libre 4/5",B18&lt;&gt;"Sa",B18&lt;&gt;"Di"),SUM(N17,Configuration!$H$41),SUM(N17))</f>
        <v>9.4999999999999947</v>
      </c>
      <c r="O18" s="49" t="str">
        <f t="shared" si="24"/>
        <v>-</v>
      </c>
      <c r="P18" s="143">
        <f t="shared" si="17"/>
        <v>9.4999999999999947</v>
      </c>
      <c r="Q18" s="167">
        <f t="shared" si="18"/>
        <v>0</v>
      </c>
      <c r="R18" s="168">
        <f t="shared" si="18"/>
        <v>0</v>
      </c>
      <c r="S18" s="168">
        <f t="shared" si="18"/>
        <v>0</v>
      </c>
      <c r="T18" s="169">
        <f t="shared" si="18"/>
        <v>0</v>
      </c>
      <c r="U18" s="97">
        <f t="shared" si="2"/>
        <v>0</v>
      </c>
      <c r="V18" s="97">
        <f t="shared" si="3"/>
        <v>0</v>
      </c>
      <c r="W18" s="97">
        <f t="shared" si="4"/>
        <v>0</v>
      </c>
      <c r="X18" s="97">
        <f t="shared" si="5"/>
        <v>0</v>
      </c>
      <c r="Y18" s="209"/>
      <c r="Z18" s="210"/>
      <c r="AA18" s="210"/>
      <c r="AB18" s="128">
        <f>IF(AND(D18="Jour férié semaine",((G18-F18)+(I18-H18)+(K18-J18)=0)),VLOOKUP(D18,Systeemgegevens!$J:$K,2,FALSE),0)</f>
        <v>0</v>
      </c>
      <c r="AC18" s="43">
        <f>IF(AND(NOT(ISERROR(FIND("Congé",D18))),ISERROR(FIND("1/2",D18)),ISERROR(FIND("Synd",D18)),ISERROR(FIND("synd",D18)),(G18-F18+I18-H18+K18-J18)=0),VLOOKUP(D18,Systeemgegevens!$J:$K,2,FALSE),IF(AND(NOT(ISERROR(FIND("1/2 Congé + ",D18))),(G18-F18+I18-H18+K18-J18)=0),VLOOKUP(D18,Systeemgegevens!$J:$K,2,FALSE)/2,IF(AND(NOT(ISERROR(FIND("1/2 Congé",D18))),ISERROR(FIND(" + ",D18)),ISERROR(FIND("1/2 Congé Synd.",D18))),VLOOKUP(D18,Systeemgegevens!$J:$K,2,FALSE),0)))</f>
        <v>0</v>
      </c>
      <c r="AD18" s="43">
        <f>IF(AND(OR(D18="1/2 Congé Synd.",D18="Congé Synd."),((G18-F18)+(I18-H18)+(K18-J18)=0)),VLOOKUP(D18,Systeemgegevens!$J:$K,2,FALSE),IF(AND(D18="1/2 Congé + 1/2 synd.",((G18-F18)+(I18-H18)+(K18-J18)=0)),AC18,0))</f>
        <v>0</v>
      </c>
      <c r="AE18" s="43">
        <f>IF(AND(D18="Jour de pont",((G18-F18)+(I18-H18)+(K18-J18)=0)),VLOOKUP(D18,Systeemgegevens!$J:$K,2,FALSE),0)</f>
        <v>0</v>
      </c>
      <c r="AF18" s="43">
        <f>IF(AND(D18="Jour libre 4/5",AND((G18-F18)+(I18-H18)+(K18-J18)=0)),VLOOKUP(D18,Systeemgegevens!$J:$K,2,FALSE),0)</f>
        <v>0</v>
      </c>
      <c r="AG18" s="118">
        <f>IF(AND(D18&lt;&gt;"",SUM(AB18:AF18)=0,D18&lt;&gt;$AB$4,D18&lt;&gt;$AC$4,D18&lt;&gt;$AE$4,D18&lt;&gt;$AF$4),VLOOKUP(D18,Systeemgegevens!$J:$K,2,FALSE),0)</f>
        <v>0</v>
      </c>
      <c r="AH18" s="119">
        <f t="shared" si="6"/>
        <v>0</v>
      </c>
      <c r="AI18" s="101">
        <f t="shared" si="7"/>
        <v>0</v>
      </c>
      <c r="AJ18" s="118">
        <f t="shared" si="19"/>
        <v>0</v>
      </c>
      <c r="AK18" s="119">
        <f t="shared" si="8"/>
        <v>0</v>
      </c>
      <c r="AL18" s="101">
        <f t="shared" si="9"/>
        <v>0</v>
      </c>
      <c r="AM18" s="43">
        <f t="shared" si="20"/>
        <v>0</v>
      </c>
      <c r="AN18" s="118">
        <f t="shared" si="21"/>
        <v>0</v>
      </c>
      <c r="AO18" s="122">
        <f t="shared" si="10"/>
        <v>0</v>
      </c>
      <c r="AP18" s="107">
        <f t="shared" si="11"/>
        <v>0</v>
      </c>
      <c r="AQ18" s="107">
        <f t="shared" si="12"/>
        <v>0</v>
      </c>
      <c r="AR18" s="123">
        <f t="shared" si="13"/>
        <v>0</v>
      </c>
      <c r="AS18" s="124">
        <f t="shared" si="14"/>
        <v>0</v>
      </c>
      <c r="AT18" s="124">
        <f t="shared" si="15"/>
        <v>0</v>
      </c>
      <c r="AU18" s="124">
        <f t="shared" si="16"/>
        <v>0</v>
      </c>
      <c r="AV18" s="117" t="s">
        <v>27</v>
      </c>
      <c r="AW18" s="129">
        <f>IF(($R$41=AV18)*AND($R$42&lt;&gt;""),VLOOKUP($R$42,'Barèmes police'!$AF$4:$AG$30,2),0)</f>
        <v>0</v>
      </c>
      <c r="AX18" s="16" t="str">
        <f>IF('Types de jours'!F24&lt;&gt;"",'Types de jours'!F24,"")</f>
        <v>Jour de pont</v>
      </c>
      <c r="AY18" s="144">
        <f>IF(AX18&lt;&gt;"",'Types de jours'!I24,"")</f>
        <v>0.31666666666666665</v>
      </c>
      <c r="AZ18" s="269"/>
      <c r="BA18" s="154"/>
      <c r="BB18" s="154"/>
      <c r="BC18" s="154"/>
      <c r="BD18" s="154"/>
      <c r="BE18" s="154"/>
      <c r="BF18" s="154"/>
    </row>
    <row r="19" spans="1:58" ht="12.75" customHeight="1" x14ac:dyDescent="0.2">
      <c r="A19" s="34"/>
      <c r="B19" s="24" t="str">
        <f t="shared" si="0"/>
        <v>Lu</v>
      </c>
      <c r="C19" s="25">
        <f t="shared" si="22"/>
        <v>45516</v>
      </c>
      <c r="D19" s="51"/>
      <c r="E19" s="116"/>
      <c r="F19" s="52"/>
      <c r="G19" s="53"/>
      <c r="H19" s="52"/>
      <c r="I19" s="53"/>
      <c r="J19" s="54"/>
      <c r="K19" s="55"/>
      <c r="L19" s="40">
        <f t="shared" si="1"/>
        <v>0</v>
      </c>
      <c r="M19" s="41">
        <f t="shared" si="23"/>
        <v>0</v>
      </c>
      <c r="N19" s="42">
        <f>IF(AND(D19&lt;&gt;"Jour libre 4/5",B19&lt;&gt;"Sa",B19&lt;&gt;"Di"),SUM(N18,Configuration!$H$41),SUM(N18))</f>
        <v>9.8166666666666611</v>
      </c>
      <c r="O19" s="49" t="str">
        <f t="shared" si="24"/>
        <v>-</v>
      </c>
      <c r="P19" s="143">
        <f t="shared" si="17"/>
        <v>9.8166666666666611</v>
      </c>
      <c r="Q19" s="167">
        <f t="shared" si="18"/>
        <v>0</v>
      </c>
      <c r="R19" s="168">
        <f t="shared" si="18"/>
        <v>0</v>
      </c>
      <c r="S19" s="168">
        <f t="shared" si="18"/>
        <v>0</v>
      </c>
      <c r="T19" s="169">
        <f t="shared" si="18"/>
        <v>0</v>
      </c>
      <c r="U19" s="97">
        <f t="shared" si="2"/>
        <v>0</v>
      </c>
      <c r="V19" s="97">
        <f t="shared" si="3"/>
        <v>0</v>
      </c>
      <c r="W19" s="97">
        <f t="shared" si="4"/>
        <v>0</v>
      </c>
      <c r="X19" s="97">
        <f t="shared" si="5"/>
        <v>0</v>
      </c>
      <c r="Y19" s="209"/>
      <c r="Z19" s="210"/>
      <c r="AA19" s="210"/>
      <c r="AB19" s="128">
        <f>IF(AND(D19="Jour férié semaine",((G19-F19)+(I19-H19)+(K19-J19)=0)),VLOOKUP(D19,Systeemgegevens!$J:$K,2,FALSE),0)</f>
        <v>0</v>
      </c>
      <c r="AC19" s="43">
        <f>IF(AND(NOT(ISERROR(FIND("Congé",D19))),ISERROR(FIND("1/2",D19)),ISERROR(FIND("Synd",D19)),ISERROR(FIND("synd",D19)),(G19-F19+I19-H19+K19-J19)=0),VLOOKUP(D19,Systeemgegevens!$J:$K,2,FALSE),IF(AND(NOT(ISERROR(FIND("1/2 Congé + ",D19))),(G19-F19+I19-H19+K19-J19)=0),VLOOKUP(D19,Systeemgegevens!$J:$K,2,FALSE)/2,IF(AND(NOT(ISERROR(FIND("1/2 Congé",D19))),ISERROR(FIND(" + ",D19)),ISERROR(FIND("1/2 Congé Synd.",D19))),VLOOKUP(D19,Systeemgegevens!$J:$K,2,FALSE),0)))</f>
        <v>0</v>
      </c>
      <c r="AD19" s="43">
        <f>IF(AND(OR(D19="1/2 Congé Synd.",D19="Congé Synd."),((G19-F19)+(I19-H19)+(K19-J19)=0)),VLOOKUP(D19,Systeemgegevens!$J:$K,2,FALSE),IF(AND(D19="1/2 Congé + 1/2 synd.",((G19-F19)+(I19-H19)+(K19-J19)=0)),AC19,0))</f>
        <v>0</v>
      </c>
      <c r="AE19" s="43">
        <f>IF(AND(D19="Jour de pont",((G19-F19)+(I19-H19)+(K19-J19)=0)),VLOOKUP(D19,Systeemgegevens!$J:$K,2,FALSE),0)</f>
        <v>0</v>
      </c>
      <c r="AF19" s="43">
        <f>IF(AND(D19="Jour libre 4/5",AND((G19-F19)+(I19-H19)+(K19-J19)=0)),VLOOKUP(D19,Systeemgegevens!$J:$K,2,FALSE),0)</f>
        <v>0</v>
      </c>
      <c r="AG19" s="118">
        <f>IF(AND(D19&lt;&gt;"",SUM(AB19:AF19)=0,D19&lt;&gt;$AB$4,D19&lt;&gt;$AC$4,D19&lt;&gt;$AE$4,D19&lt;&gt;$AF$4),VLOOKUP(D19,Systeemgegevens!$J:$K,2,FALSE),0)</f>
        <v>0</v>
      </c>
      <c r="AH19" s="119">
        <f t="shared" si="6"/>
        <v>0</v>
      </c>
      <c r="AI19" s="101">
        <f t="shared" si="7"/>
        <v>0</v>
      </c>
      <c r="AJ19" s="118">
        <f t="shared" si="19"/>
        <v>0</v>
      </c>
      <c r="AK19" s="119">
        <f t="shared" si="8"/>
        <v>0</v>
      </c>
      <c r="AL19" s="101">
        <f t="shared" si="9"/>
        <v>0</v>
      </c>
      <c r="AM19" s="43">
        <f t="shared" si="20"/>
        <v>0</v>
      </c>
      <c r="AN19" s="118">
        <f t="shared" si="21"/>
        <v>0</v>
      </c>
      <c r="AO19" s="122">
        <f t="shared" si="10"/>
        <v>0</v>
      </c>
      <c r="AP19" s="107">
        <f t="shared" si="11"/>
        <v>0</v>
      </c>
      <c r="AQ19" s="107">
        <f t="shared" si="12"/>
        <v>0</v>
      </c>
      <c r="AR19" s="123">
        <f t="shared" si="13"/>
        <v>0</v>
      </c>
      <c r="AS19" s="124">
        <f t="shared" si="14"/>
        <v>0</v>
      </c>
      <c r="AT19" s="124">
        <f t="shared" si="15"/>
        <v>0</v>
      </c>
      <c r="AU19" s="124">
        <f t="shared" si="16"/>
        <v>0</v>
      </c>
      <c r="AV19" s="117" t="s">
        <v>26</v>
      </c>
      <c r="AW19" s="129">
        <f>IF(($R$41=AV19)*AND($R$42&lt;&gt;""),VLOOKUP($R$42,'Barèmes police'!$AI$4:$AJ$30,2),0)</f>
        <v>0</v>
      </c>
      <c r="AX19" s="16" t="str">
        <f>IF('Types de jours'!F25&lt;&gt;"",'Types de jours'!F25,"")</f>
        <v>Congé 12h</v>
      </c>
      <c r="AY19" s="144">
        <f>IF(AX19&lt;&gt;"",'Types de jours'!I25,"")</f>
        <v>0.5</v>
      </c>
      <c r="AZ19" s="269"/>
      <c r="BA19" s="154"/>
      <c r="BB19" s="154"/>
      <c r="BC19" s="154"/>
      <c r="BD19" s="154"/>
      <c r="BE19" s="154"/>
      <c r="BF19" s="154"/>
    </row>
    <row r="20" spans="1:58" ht="12.75" customHeight="1" x14ac:dyDescent="0.2">
      <c r="A20" s="34"/>
      <c r="B20" s="24" t="str">
        <f t="shared" si="0"/>
        <v>Ma</v>
      </c>
      <c r="C20" s="25">
        <f t="shared" si="22"/>
        <v>45517</v>
      </c>
      <c r="D20" s="51"/>
      <c r="E20" s="116"/>
      <c r="F20" s="52"/>
      <c r="G20" s="53"/>
      <c r="H20" s="52"/>
      <c r="I20" s="53"/>
      <c r="J20" s="54"/>
      <c r="K20" s="55"/>
      <c r="L20" s="40">
        <f t="shared" si="1"/>
        <v>0</v>
      </c>
      <c r="M20" s="41">
        <f t="shared" si="23"/>
        <v>0</v>
      </c>
      <c r="N20" s="42">
        <f>IF(AND(D20&lt;&gt;"Jour libre 4/5",B20&lt;&gt;"Sa",B20&lt;&gt;"Di"),SUM(N19,Configuration!$H$41),SUM(N19))</f>
        <v>10.133333333333328</v>
      </c>
      <c r="O20" s="49" t="str">
        <f t="shared" si="24"/>
        <v>-</v>
      </c>
      <c r="P20" s="143">
        <f t="shared" si="17"/>
        <v>10.133333333333328</v>
      </c>
      <c r="Q20" s="167">
        <f t="shared" si="18"/>
        <v>0</v>
      </c>
      <c r="R20" s="168">
        <f t="shared" si="18"/>
        <v>0</v>
      </c>
      <c r="S20" s="168">
        <f t="shared" si="18"/>
        <v>0</v>
      </c>
      <c r="T20" s="169">
        <f t="shared" si="18"/>
        <v>0</v>
      </c>
      <c r="U20" s="97">
        <f t="shared" si="2"/>
        <v>0</v>
      </c>
      <c r="V20" s="97">
        <f t="shared" si="3"/>
        <v>0</v>
      </c>
      <c r="W20" s="97">
        <f t="shared" si="4"/>
        <v>0</v>
      </c>
      <c r="X20" s="97">
        <f t="shared" si="5"/>
        <v>0</v>
      </c>
      <c r="Y20" s="209"/>
      <c r="Z20" s="210"/>
      <c r="AA20" s="210"/>
      <c r="AB20" s="128">
        <f>IF(AND(D20="Jour férié semaine",((G20-F20)+(I20-H20)+(K20-J20)=0)),VLOOKUP(D20,Systeemgegevens!$J:$K,2,FALSE),0)</f>
        <v>0</v>
      </c>
      <c r="AC20" s="43">
        <f>IF(AND(NOT(ISERROR(FIND("Congé",D20))),ISERROR(FIND("1/2",D20)),ISERROR(FIND("Synd",D20)),ISERROR(FIND("synd",D20)),(G20-F20+I20-H20+K20-J20)=0),VLOOKUP(D20,Systeemgegevens!$J:$K,2,FALSE),IF(AND(NOT(ISERROR(FIND("1/2 Congé + ",D20))),(G20-F20+I20-H20+K20-J20)=0),VLOOKUP(D20,Systeemgegevens!$J:$K,2,FALSE)/2,IF(AND(NOT(ISERROR(FIND("1/2 Congé",D20))),ISERROR(FIND(" + ",D20)),ISERROR(FIND("1/2 Congé Synd.",D20))),VLOOKUP(D20,Systeemgegevens!$J:$K,2,FALSE),0)))</f>
        <v>0</v>
      </c>
      <c r="AD20" s="43">
        <f>IF(AND(OR(D20="1/2 Congé Synd.",D20="Congé Synd."),((G20-F20)+(I20-H20)+(K20-J20)=0)),VLOOKUP(D20,Systeemgegevens!$J:$K,2,FALSE),IF(AND(D20="1/2 Congé + 1/2 synd.",((G20-F20)+(I20-H20)+(K20-J20)=0)),AC20,0))</f>
        <v>0</v>
      </c>
      <c r="AE20" s="43">
        <f>IF(AND(D20="Jour de pont",((G20-F20)+(I20-H20)+(K20-J20)=0)),VLOOKUP(D20,Systeemgegevens!$J:$K,2,FALSE),0)</f>
        <v>0</v>
      </c>
      <c r="AF20" s="43">
        <f>IF(AND(D20="Jour libre 4/5",AND((G20-F20)+(I20-H20)+(K20-J20)=0)),VLOOKUP(D20,Systeemgegevens!$J:$K,2,FALSE),0)</f>
        <v>0</v>
      </c>
      <c r="AG20" s="118">
        <f>IF(AND(D20&lt;&gt;"",SUM(AB20:AF20)=0,D20&lt;&gt;$AB$4,D20&lt;&gt;$AC$4,D20&lt;&gt;$AE$4,D20&lt;&gt;$AF$4),VLOOKUP(D20,Systeemgegevens!$J:$K,2,FALSE),0)</f>
        <v>0</v>
      </c>
      <c r="AH20" s="119">
        <f t="shared" si="6"/>
        <v>0</v>
      </c>
      <c r="AI20" s="101">
        <f t="shared" si="7"/>
        <v>0</v>
      </c>
      <c r="AJ20" s="118">
        <f t="shared" si="19"/>
        <v>0</v>
      </c>
      <c r="AK20" s="119">
        <f t="shared" si="8"/>
        <v>0</v>
      </c>
      <c r="AL20" s="101">
        <f t="shared" si="9"/>
        <v>0</v>
      </c>
      <c r="AM20" s="43">
        <f t="shared" si="20"/>
        <v>0</v>
      </c>
      <c r="AN20" s="118">
        <f t="shared" si="21"/>
        <v>0</v>
      </c>
      <c r="AO20" s="122">
        <f t="shared" si="10"/>
        <v>0</v>
      </c>
      <c r="AP20" s="107">
        <f t="shared" si="11"/>
        <v>0</v>
      </c>
      <c r="AQ20" s="107">
        <f t="shared" si="12"/>
        <v>0</v>
      </c>
      <c r="AR20" s="123">
        <f t="shared" si="13"/>
        <v>0</v>
      </c>
      <c r="AS20" s="124">
        <f t="shared" si="14"/>
        <v>0</v>
      </c>
      <c r="AT20" s="124">
        <f t="shared" si="15"/>
        <v>0</v>
      </c>
      <c r="AU20" s="124">
        <f t="shared" si="16"/>
        <v>0</v>
      </c>
      <c r="AV20" s="117" t="s">
        <v>25</v>
      </c>
      <c r="AW20" s="129">
        <f>IF(($R$41=AV20)*AND($R$42&lt;&gt;""),VLOOKUP($R$42,'Barèmes police'!$AL$4:$AM$30,2),0)</f>
        <v>0</v>
      </c>
      <c r="AX20" s="16" t="str">
        <f>IF('Types de jours'!F26&lt;&gt;"",'Types de jours'!F26,"")</f>
        <v/>
      </c>
      <c r="AY20" s="144" t="str">
        <f>IF(AX20&lt;&gt;"",'Types de jours'!I26,"")</f>
        <v/>
      </c>
      <c r="AZ20" s="269"/>
      <c r="BA20" s="154"/>
      <c r="BB20" s="154"/>
      <c r="BC20" s="154"/>
      <c r="BD20" s="154"/>
      <c r="BE20" s="154"/>
      <c r="BF20" s="154"/>
    </row>
    <row r="21" spans="1:58" ht="12.75" customHeight="1" x14ac:dyDescent="0.2">
      <c r="A21" s="34"/>
      <c r="B21" s="24" t="str">
        <f t="shared" si="0"/>
        <v>Me</v>
      </c>
      <c r="C21" s="25">
        <f t="shared" si="22"/>
        <v>45518</v>
      </c>
      <c r="D21" s="51"/>
      <c r="E21" s="116"/>
      <c r="F21" s="52"/>
      <c r="G21" s="53"/>
      <c r="H21" s="52"/>
      <c r="I21" s="53"/>
      <c r="J21" s="54"/>
      <c r="K21" s="55"/>
      <c r="L21" s="40">
        <f t="shared" si="1"/>
        <v>0</v>
      </c>
      <c r="M21" s="41">
        <f t="shared" si="23"/>
        <v>0</v>
      </c>
      <c r="N21" s="42">
        <f>IF(AND(D21&lt;&gt;"Jour libre 4/5",B21&lt;&gt;"Sa",B21&lt;&gt;"Di"),SUM(N20,Configuration!$H$41),SUM(N20))</f>
        <v>10.449999999999994</v>
      </c>
      <c r="O21" s="49" t="str">
        <f t="shared" si="24"/>
        <v>-</v>
      </c>
      <c r="P21" s="143">
        <f t="shared" si="17"/>
        <v>10.449999999999994</v>
      </c>
      <c r="Q21" s="167">
        <f t="shared" si="18"/>
        <v>0</v>
      </c>
      <c r="R21" s="168">
        <f t="shared" si="18"/>
        <v>0</v>
      </c>
      <c r="S21" s="168">
        <f t="shared" si="18"/>
        <v>0</v>
      </c>
      <c r="T21" s="169">
        <f t="shared" si="18"/>
        <v>0</v>
      </c>
      <c r="U21" s="97">
        <f t="shared" si="2"/>
        <v>0</v>
      </c>
      <c r="V21" s="97">
        <f t="shared" si="3"/>
        <v>0</v>
      </c>
      <c r="W21" s="97">
        <f t="shared" si="4"/>
        <v>0</v>
      </c>
      <c r="X21" s="97">
        <f t="shared" si="5"/>
        <v>0</v>
      </c>
      <c r="Y21" s="209"/>
      <c r="Z21" s="210"/>
      <c r="AA21" s="210"/>
      <c r="AB21" s="128">
        <f>IF(AND(D21="Jour férié semaine",((G21-F21)+(I21-H21)+(K21-J21)=0)),VLOOKUP(D21,Systeemgegevens!$J:$K,2,FALSE),0)</f>
        <v>0</v>
      </c>
      <c r="AC21" s="43">
        <f>IF(AND(NOT(ISERROR(FIND("Congé",D21))),ISERROR(FIND("1/2",D21)),ISERROR(FIND("Synd",D21)),ISERROR(FIND("synd",D21)),(G21-F21+I21-H21+K21-J21)=0),VLOOKUP(D21,Systeemgegevens!$J:$K,2,FALSE),IF(AND(NOT(ISERROR(FIND("1/2 Congé + ",D21))),(G21-F21+I21-H21+K21-J21)=0),VLOOKUP(D21,Systeemgegevens!$J:$K,2,FALSE)/2,IF(AND(NOT(ISERROR(FIND("1/2 Congé",D21))),ISERROR(FIND(" + ",D21)),ISERROR(FIND("1/2 Congé Synd.",D21))),VLOOKUP(D21,Systeemgegevens!$J:$K,2,FALSE),0)))</f>
        <v>0</v>
      </c>
      <c r="AD21" s="43">
        <f>IF(AND(OR(D21="1/2 Congé Synd.",D21="Congé Synd."),((G21-F21)+(I21-H21)+(K21-J21)=0)),VLOOKUP(D21,Systeemgegevens!$J:$K,2,FALSE),IF(AND(D21="1/2 Congé + 1/2 synd.",((G21-F21)+(I21-H21)+(K21-J21)=0)),AC21,0))</f>
        <v>0</v>
      </c>
      <c r="AE21" s="43">
        <f>IF(AND(D21="Jour de pont",((G21-F21)+(I21-H21)+(K21-J21)=0)),VLOOKUP(D21,Systeemgegevens!$J:$K,2,FALSE),0)</f>
        <v>0</v>
      </c>
      <c r="AF21" s="43">
        <f>IF(AND(D21="Jour libre 4/5",AND((G21-F21)+(I21-H21)+(K21-J21)=0)),VLOOKUP(D21,Systeemgegevens!$J:$K,2,FALSE),0)</f>
        <v>0</v>
      </c>
      <c r="AG21" s="118">
        <f>IF(AND(D21&lt;&gt;"",SUM(AB21:AF21)=0,D21&lt;&gt;$AB$4,D21&lt;&gt;$AC$4,D21&lt;&gt;$AE$4,D21&lt;&gt;$AF$4),VLOOKUP(D21,Systeemgegevens!$J:$K,2,FALSE),0)</f>
        <v>0</v>
      </c>
      <c r="AH21" s="119">
        <f t="shared" si="6"/>
        <v>0</v>
      </c>
      <c r="AI21" s="101">
        <f t="shared" si="7"/>
        <v>0</v>
      </c>
      <c r="AJ21" s="118">
        <f t="shared" si="19"/>
        <v>0</v>
      </c>
      <c r="AK21" s="119">
        <f t="shared" si="8"/>
        <v>0</v>
      </c>
      <c r="AL21" s="101">
        <f t="shared" si="9"/>
        <v>0</v>
      </c>
      <c r="AM21" s="43">
        <f t="shared" si="20"/>
        <v>0</v>
      </c>
      <c r="AN21" s="118">
        <f t="shared" si="21"/>
        <v>0</v>
      </c>
      <c r="AO21" s="122">
        <f t="shared" si="10"/>
        <v>0</v>
      </c>
      <c r="AP21" s="107">
        <f t="shared" si="11"/>
        <v>0</v>
      </c>
      <c r="AQ21" s="107">
        <f t="shared" si="12"/>
        <v>0</v>
      </c>
      <c r="AR21" s="123">
        <f t="shared" si="13"/>
        <v>0</v>
      </c>
      <c r="AS21" s="124">
        <f t="shared" si="14"/>
        <v>0</v>
      </c>
      <c r="AT21" s="124">
        <f t="shared" si="15"/>
        <v>0</v>
      </c>
      <c r="AU21" s="124">
        <f t="shared" si="16"/>
        <v>0</v>
      </c>
      <c r="AV21" s="117" t="s">
        <v>24</v>
      </c>
      <c r="AW21" s="129">
        <f>IF(($R$41=AV21)*AND($R$42&lt;&gt;""),VLOOKUP($R$42,'Barèmes police'!$AO$4:$AP$30,2),0)</f>
        <v>0</v>
      </c>
      <c r="AX21" s="16" t="str">
        <f>IF('Types de jours'!F27&lt;&gt;"",'Types de jours'!F27,"")</f>
        <v/>
      </c>
      <c r="AY21" s="144" t="str">
        <f>IF(AX21&lt;&gt;"",'Types de jours'!I27,"")</f>
        <v/>
      </c>
      <c r="AZ21" s="269"/>
      <c r="BA21" s="154"/>
      <c r="BB21" s="154"/>
      <c r="BC21" s="154"/>
      <c r="BD21" s="154"/>
      <c r="BE21" s="154"/>
      <c r="BF21" s="154"/>
    </row>
    <row r="22" spans="1:58" ht="12.75" customHeight="1" x14ac:dyDescent="0.2">
      <c r="A22" s="34"/>
      <c r="B22" s="24" t="str">
        <f t="shared" si="0"/>
        <v>Je</v>
      </c>
      <c r="C22" s="25">
        <f t="shared" si="22"/>
        <v>45519</v>
      </c>
      <c r="D22" s="51" t="s">
        <v>259</v>
      </c>
      <c r="E22" s="116"/>
      <c r="F22" s="52"/>
      <c r="G22" s="53"/>
      <c r="H22" s="52"/>
      <c r="I22" s="53"/>
      <c r="J22" s="54"/>
      <c r="K22" s="55"/>
      <c r="L22" s="40">
        <f t="shared" si="1"/>
        <v>0.31666666666666665</v>
      </c>
      <c r="M22" s="41">
        <f t="shared" si="23"/>
        <v>0.31666666666666665</v>
      </c>
      <c r="N22" s="42">
        <f>IF(AND(D22&lt;&gt;"Jour libre 4/5",B22&lt;&gt;"Sa",B22&lt;&gt;"Di"),SUM(N21,Configuration!$H$41),SUM(N21))</f>
        <v>10.76666666666666</v>
      </c>
      <c r="O22" s="49" t="str">
        <f t="shared" si="24"/>
        <v>-</v>
      </c>
      <c r="P22" s="143">
        <f t="shared" si="17"/>
        <v>10.449999999999994</v>
      </c>
      <c r="Q22" s="167">
        <f t="shared" si="18"/>
        <v>0</v>
      </c>
      <c r="R22" s="168">
        <f t="shared" si="18"/>
        <v>0</v>
      </c>
      <c r="S22" s="168">
        <f t="shared" si="18"/>
        <v>0</v>
      </c>
      <c r="T22" s="169">
        <f t="shared" si="18"/>
        <v>0</v>
      </c>
      <c r="U22" s="97">
        <f t="shared" si="2"/>
        <v>0</v>
      </c>
      <c r="V22" s="97">
        <f t="shared" si="3"/>
        <v>0</v>
      </c>
      <c r="W22" s="97">
        <f t="shared" si="4"/>
        <v>0</v>
      </c>
      <c r="X22" s="97">
        <f t="shared" si="5"/>
        <v>0</v>
      </c>
      <c r="Y22" s="209"/>
      <c r="Z22" s="210"/>
      <c r="AA22" s="210"/>
      <c r="AB22" s="128">
        <f>IF(AND(D22="Jour férié semaine",((G22-F22)+(I22-H22)+(K22-J22)=0)),VLOOKUP(D22,Systeemgegevens!$J:$K,2,FALSE),0)</f>
        <v>0.31666666666666665</v>
      </c>
      <c r="AC22" s="43">
        <f>IF(AND(NOT(ISERROR(FIND("Congé",D22))),ISERROR(FIND("1/2",D22)),ISERROR(FIND("Synd",D22)),ISERROR(FIND("synd",D22)),(G22-F22+I22-H22+K22-J22)=0),VLOOKUP(D22,Systeemgegevens!$J:$K,2,FALSE),IF(AND(NOT(ISERROR(FIND("1/2 Congé + ",D22))),(G22-F22+I22-H22+K22-J22)=0),VLOOKUP(D22,Systeemgegevens!$J:$K,2,FALSE)/2,IF(AND(NOT(ISERROR(FIND("1/2 Congé",D22))),ISERROR(FIND(" + ",D22)),ISERROR(FIND("1/2 Congé Synd.",D22))),VLOOKUP(D22,Systeemgegevens!$J:$K,2,FALSE),0)))</f>
        <v>0</v>
      </c>
      <c r="AD22" s="43">
        <f>IF(AND(OR(D22="1/2 Congé Synd.",D22="Congé Synd."),((G22-F22)+(I22-H22)+(K22-J22)=0)),VLOOKUP(D22,Systeemgegevens!$J:$K,2,FALSE),IF(AND(D22="1/2 Congé + 1/2 synd.",((G22-F22)+(I22-H22)+(K22-J22)=0)),AC22,0))</f>
        <v>0</v>
      </c>
      <c r="AE22" s="43">
        <f>IF(AND(D22="Jour de pont",((G22-F22)+(I22-H22)+(K22-J22)=0)),VLOOKUP(D22,Systeemgegevens!$J:$K,2,FALSE),0)</f>
        <v>0</v>
      </c>
      <c r="AF22" s="43">
        <f>IF(AND(D22="Jour libre 4/5",AND((G22-F22)+(I22-H22)+(K22-J22)=0)),VLOOKUP(D22,Systeemgegevens!$J:$K,2,FALSE),0)</f>
        <v>0</v>
      </c>
      <c r="AG22" s="118">
        <f>IF(AND(D22&lt;&gt;"",SUM(AB22:AF22)=0,D22&lt;&gt;$AB$4,D22&lt;&gt;$AC$4,D22&lt;&gt;$AE$4,D22&lt;&gt;$AF$4),VLOOKUP(D22,Systeemgegevens!$J:$K,2,FALSE),0)</f>
        <v>0</v>
      </c>
      <c r="AH22" s="119">
        <f t="shared" si="6"/>
        <v>0</v>
      </c>
      <c r="AI22" s="101">
        <f t="shared" si="7"/>
        <v>0</v>
      </c>
      <c r="AJ22" s="118">
        <f t="shared" si="19"/>
        <v>0</v>
      </c>
      <c r="AK22" s="119">
        <f t="shared" si="8"/>
        <v>0</v>
      </c>
      <c r="AL22" s="101">
        <f t="shared" si="9"/>
        <v>0</v>
      </c>
      <c r="AM22" s="43">
        <f t="shared" si="20"/>
        <v>0</v>
      </c>
      <c r="AN22" s="118">
        <f t="shared" si="21"/>
        <v>0</v>
      </c>
      <c r="AO22" s="122">
        <f t="shared" si="10"/>
        <v>0</v>
      </c>
      <c r="AP22" s="107">
        <f t="shared" si="11"/>
        <v>0</v>
      </c>
      <c r="AQ22" s="107">
        <f t="shared" si="12"/>
        <v>0</v>
      </c>
      <c r="AR22" s="123">
        <f t="shared" si="13"/>
        <v>0</v>
      </c>
      <c r="AS22" s="124">
        <f t="shared" si="14"/>
        <v>0</v>
      </c>
      <c r="AT22" s="124">
        <f t="shared" si="15"/>
        <v>0</v>
      </c>
      <c r="AU22" s="124">
        <f t="shared" si="16"/>
        <v>0</v>
      </c>
      <c r="AV22" s="117" t="s">
        <v>23</v>
      </c>
      <c r="AW22" s="129">
        <f>IF(($R$41=AV22)*AND($R$42&lt;&gt;""),VLOOKUP($R$42,'Barèmes police'!$AR$4:$AS$30,2),0)</f>
        <v>0</v>
      </c>
      <c r="AX22" s="16" t="str">
        <f>IF('Types de jours'!F28&lt;&gt;"",'Types de jours'!F28,"")</f>
        <v/>
      </c>
      <c r="AY22" s="144" t="str">
        <f>IF(AX22&lt;&gt;"",'Types de jours'!I28,"")</f>
        <v/>
      </c>
      <c r="AZ22" s="269"/>
      <c r="BA22" s="154"/>
      <c r="BB22" s="154"/>
      <c r="BC22" s="154"/>
      <c r="BD22" s="154"/>
      <c r="BE22" s="154"/>
      <c r="BF22" s="154"/>
    </row>
    <row r="23" spans="1:58" ht="12.75" customHeight="1" x14ac:dyDescent="0.2">
      <c r="A23" s="34"/>
      <c r="B23" s="24" t="str">
        <f t="shared" si="0"/>
        <v>Ve</v>
      </c>
      <c r="C23" s="25">
        <f t="shared" si="22"/>
        <v>45520</v>
      </c>
      <c r="D23" s="51"/>
      <c r="E23" s="116"/>
      <c r="F23" s="52"/>
      <c r="G23" s="53"/>
      <c r="H23" s="52"/>
      <c r="I23" s="53"/>
      <c r="J23" s="54"/>
      <c r="K23" s="55"/>
      <c r="L23" s="40">
        <f t="shared" si="1"/>
        <v>0</v>
      </c>
      <c r="M23" s="41">
        <f t="shared" si="23"/>
        <v>0.31666666666666665</v>
      </c>
      <c r="N23" s="42">
        <f>IF(AND(D23&lt;&gt;"Jour libre 4/5",B23&lt;&gt;"Sa",B23&lt;&gt;"Di"),SUM(N22,Configuration!$H$41),SUM(N22))</f>
        <v>11.083333333333327</v>
      </c>
      <c r="O23" s="49" t="str">
        <f t="shared" si="24"/>
        <v>-</v>
      </c>
      <c r="P23" s="143">
        <f t="shared" si="17"/>
        <v>10.76666666666666</v>
      </c>
      <c r="Q23" s="167">
        <f t="shared" si="18"/>
        <v>0</v>
      </c>
      <c r="R23" s="168">
        <f t="shared" si="18"/>
        <v>0</v>
      </c>
      <c r="S23" s="168">
        <f t="shared" si="18"/>
        <v>0</v>
      </c>
      <c r="T23" s="169">
        <f t="shared" si="18"/>
        <v>0</v>
      </c>
      <c r="U23" s="97">
        <f t="shared" si="2"/>
        <v>0</v>
      </c>
      <c r="V23" s="97">
        <f t="shared" si="3"/>
        <v>0</v>
      </c>
      <c r="W23" s="97">
        <f t="shared" si="4"/>
        <v>0</v>
      </c>
      <c r="X23" s="97">
        <f t="shared" si="5"/>
        <v>0</v>
      </c>
      <c r="Y23" s="209"/>
      <c r="Z23" s="210"/>
      <c r="AA23" s="210"/>
      <c r="AB23" s="128">
        <f>IF(AND(D23="Jour férié semaine",((G23-F23)+(I23-H23)+(K23-J23)=0)),VLOOKUP(D23,Systeemgegevens!$J:$K,2,FALSE),0)</f>
        <v>0</v>
      </c>
      <c r="AC23" s="43">
        <f>IF(AND(NOT(ISERROR(FIND("Congé",D23))),ISERROR(FIND("1/2",D23)),ISERROR(FIND("Synd",D23)),ISERROR(FIND("synd",D23)),(G23-F23+I23-H23+K23-J23)=0),VLOOKUP(D23,Systeemgegevens!$J:$K,2,FALSE),IF(AND(NOT(ISERROR(FIND("1/2 Congé + ",D23))),(G23-F23+I23-H23+K23-J23)=0),VLOOKUP(D23,Systeemgegevens!$J:$K,2,FALSE)/2,IF(AND(NOT(ISERROR(FIND("1/2 Congé",D23))),ISERROR(FIND(" + ",D23)),ISERROR(FIND("1/2 Congé Synd.",D23))),VLOOKUP(D23,Systeemgegevens!$J:$K,2,FALSE),0)))</f>
        <v>0</v>
      </c>
      <c r="AD23" s="43">
        <f>IF(AND(OR(D23="1/2 Congé Synd.",D23="Congé Synd."),((G23-F23)+(I23-H23)+(K23-J23)=0)),VLOOKUP(D23,Systeemgegevens!$J:$K,2,FALSE),IF(AND(D23="1/2 Congé + 1/2 synd.",((G23-F23)+(I23-H23)+(K23-J23)=0)),AC23,0))</f>
        <v>0</v>
      </c>
      <c r="AE23" s="43">
        <f>IF(AND(D23="Jour de pont",((G23-F23)+(I23-H23)+(K23-J23)=0)),VLOOKUP(D23,Systeemgegevens!$J:$K,2,FALSE),0)</f>
        <v>0</v>
      </c>
      <c r="AF23" s="43">
        <f>IF(AND(D23="Jour libre 4/5",AND((G23-F23)+(I23-H23)+(K23-J23)=0)),VLOOKUP(D23,Systeemgegevens!$J:$K,2,FALSE),0)</f>
        <v>0</v>
      </c>
      <c r="AG23" s="118">
        <f>IF(AND(D23&lt;&gt;"",SUM(AB23:AF23)=0,D23&lt;&gt;$AB$4,D23&lt;&gt;$AC$4,D23&lt;&gt;$AE$4,D23&lt;&gt;$AF$4),VLOOKUP(D23,Systeemgegevens!$J:$K,2,FALSE),0)</f>
        <v>0</v>
      </c>
      <c r="AH23" s="119">
        <f t="shared" si="6"/>
        <v>0</v>
      </c>
      <c r="AI23" s="101">
        <f t="shared" si="7"/>
        <v>0</v>
      </c>
      <c r="AJ23" s="118">
        <f t="shared" si="19"/>
        <v>0</v>
      </c>
      <c r="AK23" s="119">
        <f t="shared" si="8"/>
        <v>0</v>
      </c>
      <c r="AL23" s="101">
        <f t="shared" si="9"/>
        <v>0</v>
      </c>
      <c r="AM23" s="43">
        <f t="shared" si="20"/>
        <v>0</v>
      </c>
      <c r="AN23" s="118">
        <f t="shared" si="21"/>
        <v>0</v>
      </c>
      <c r="AO23" s="122">
        <f t="shared" si="10"/>
        <v>0</v>
      </c>
      <c r="AP23" s="107">
        <f t="shared" si="11"/>
        <v>0</v>
      </c>
      <c r="AQ23" s="107">
        <f t="shared" si="12"/>
        <v>0</v>
      </c>
      <c r="AR23" s="123">
        <f t="shared" si="13"/>
        <v>0</v>
      </c>
      <c r="AS23" s="124">
        <f t="shared" si="14"/>
        <v>0</v>
      </c>
      <c r="AT23" s="124">
        <f t="shared" si="15"/>
        <v>0</v>
      </c>
      <c r="AU23" s="124">
        <f t="shared" si="16"/>
        <v>0</v>
      </c>
      <c r="AV23" s="117" t="s">
        <v>22</v>
      </c>
      <c r="AW23" s="129">
        <f>IF(($R$41=AV23)*AND($R$42&lt;&gt;""),VLOOKUP($R$42,'Barèmes police'!$AU$4:$AV$34,2),0)</f>
        <v>0</v>
      </c>
      <c r="AX23" s="16" t="str">
        <f>IF('Types de jours'!F29&lt;&gt;"",'Types de jours'!F29,"")</f>
        <v/>
      </c>
      <c r="AY23" s="144" t="str">
        <f>IF(AX23&lt;&gt;"",'Types de jours'!I29,"")</f>
        <v/>
      </c>
      <c r="AZ23" s="269"/>
      <c r="BA23" s="154"/>
      <c r="BB23" s="154"/>
      <c r="BC23" s="154"/>
      <c r="BD23" s="154"/>
      <c r="BE23" s="154"/>
      <c r="BF23" s="154"/>
    </row>
    <row r="24" spans="1:58" ht="12.75" customHeight="1" x14ac:dyDescent="0.2">
      <c r="A24" s="34"/>
      <c r="B24" s="24" t="str">
        <f t="shared" si="0"/>
        <v>Sa</v>
      </c>
      <c r="C24" s="25">
        <f t="shared" si="22"/>
        <v>45521</v>
      </c>
      <c r="D24" s="51"/>
      <c r="E24" s="116"/>
      <c r="F24" s="52"/>
      <c r="G24" s="53"/>
      <c r="H24" s="52"/>
      <c r="I24" s="53"/>
      <c r="J24" s="54"/>
      <c r="K24" s="55"/>
      <c r="L24" s="40">
        <f t="shared" si="1"/>
        <v>0</v>
      </c>
      <c r="M24" s="41">
        <f t="shared" si="23"/>
        <v>0.31666666666666665</v>
      </c>
      <c r="N24" s="42">
        <f>IF(AND(D24&lt;&gt;"Jour libre 4/5",B24&lt;&gt;"Sa",B24&lt;&gt;"Di"),SUM(N23,Configuration!$H$41),SUM(N23))</f>
        <v>11.083333333333327</v>
      </c>
      <c r="O24" s="49" t="str">
        <f t="shared" si="24"/>
        <v>-</v>
      </c>
      <c r="P24" s="143">
        <f t="shared" si="17"/>
        <v>10.76666666666666</v>
      </c>
      <c r="Q24" s="167">
        <f t="shared" si="18"/>
        <v>0</v>
      </c>
      <c r="R24" s="168">
        <f t="shared" si="18"/>
        <v>0</v>
      </c>
      <c r="S24" s="168">
        <f t="shared" si="18"/>
        <v>0</v>
      </c>
      <c r="T24" s="169">
        <f t="shared" si="18"/>
        <v>0</v>
      </c>
      <c r="U24" s="97">
        <f t="shared" si="2"/>
        <v>0</v>
      </c>
      <c r="V24" s="97">
        <f t="shared" si="3"/>
        <v>0</v>
      </c>
      <c r="W24" s="97">
        <f t="shared" si="4"/>
        <v>0</v>
      </c>
      <c r="X24" s="97">
        <f t="shared" si="5"/>
        <v>0</v>
      </c>
      <c r="Y24" s="209"/>
      <c r="Z24" s="210"/>
      <c r="AA24" s="210"/>
      <c r="AB24" s="128">
        <f>IF(AND(D24="Jour férié semaine",((G24-F24)+(I24-H24)+(K24-J24)=0)),VLOOKUP(D24,Systeemgegevens!$J:$K,2,FALSE),0)</f>
        <v>0</v>
      </c>
      <c r="AC24" s="43">
        <f>IF(AND(NOT(ISERROR(FIND("Congé",D24))),ISERROR(FIND("1/2",D24)),ISERROR(FIND("Synd",D24)),ISERROR(FIND("synd",D24)),(G24-F24+I24-H24+K24-J24)=0),VLOOKUP(D24,Systeemgegevens!$J:$K,2,FALSE),IF(AND(NOT(ISERROR(FIND("1/2 Congé + ",D24))),(G24-F24+I24-H24+K24-J24)=0),VLOOKUP(D24,Systeemgegevens!$J:$K,2,FALSE)/2,IF(AND(NOT(ISERROR(FIND("1/2 Congé",D24))),ISERROR(FIND(" + ",D24)),ISERROR(FIND("1/2 Congé Synd.",D24))),VLOOKUP(D24,Systeemgegevens!$J:$K,2,FALSE),0)))</f>
        <v>0</v>
      </c>
      <c r="AD24" s="43">
        <f>IF(AND(OR(D24="1/2 Congé Synd.",D24="Congé Synd."),((G24-F24)+(I24-H24)+(K24-J24)=0)),VLOOKUP(D24,Systeemgegevens!$J:$K,2,FALSE),IF(AND(D24="1/2 Congé + 1/2 synd.",((G24-F24)+(I24-H24)+(K24-J24)=0)),AC24,0))</f>
        <v>0</v>
      </c>
      <c r="AE24" s="43">
        <f>IF(AND(D24="Jour de pont",((G24-F24)+(I24-H24)+(K24-J24)=0)),VLOOKUP(D24,Systeemgegevens!$J:$K,2,FALSE),0)</f>
        <v>0</v>
      </c>
      <c r="AF24" s="43">
        <f>IF(AND(D24="Jour libre 4/5",AND((G24-F24)+(I24-H24)+(K24-J24)=0)),VLOOKUP(D24,Systeemgegevens!$J:$K,2,FALSE),0)</f>
        <v>0</v>
      </c>
      <c r="AG24" s="118">
        <f>IF(AND(D24&lt;&gt;"",SUM(AB24:AF24)=0,D24&lt;&gt;$AB$4,D24&lt;&gt;$AC$4,D24&lt;&gt;$AE$4,D24&lt;&gt;$AF$4),VLOOKUP(D24,Systeemgegevens!$J:$K,2,FALSE),0)</f>
        <v>0</v>
      </c>
      <c r="AH24" s="119">
        <f t="shared" si="6"/>
        <v>0</v>
      </c>
      <c r="AI24" s="101">
        <f t="shared" si="7"/>
        <v>0</v>
      </c>
      <c r="AJ24" s="118">
        <f t="shared" si="19"/>
        <v>0</v>
      </c>
      <c r="AK24" s="119">
        <f t="shared" si="8"/>
        <v>0</v>
      </c>
      <c r="AL24" s="101">
        <f t="shared" si="9"/>
        <v>0</v>
      </c>
      <c r="AM24" s="43">
        <f t="shared" si="20"/>
        <v>0</v>
      </c>
      <c r="AN24" s="118">
        <f t="shared" si="21"/>
        <v>0</v>
      </c>
      <c r="AO24" s="122">
        <f t="shared" si="10"/>
        <v>0</v>
      </c>
      <c r="AP24" s="107">
        <f t="shared" si="11"/>
        <v>0</v>
      </c>
      <c r="AQ24" s="107">
        <f t="shared" si="12"/>
        <v>0</v>
      </c>
      <c r="AR24" s="123">
        <f t="shared" si="13"/>
        <v>0</v>
      </c>
      <c r="AS24" s="124">
        <f t="shared" si="14"/>
        <v>0</v>
      </c>
      <c r="AT24" s="124">
        <f t="shared" si="15"/>
        <v>0</v>
      </c>
      <c r="AU24" s="124">
        <f t="shared" si="16"/>
        <v>0</v>
      </c>
      <c r="AV24" s="117" t="s">
        <v>21</v>
      </c>
      <c r="AW24" s="129">
        <f>IF(($R$41=AV24)*AND($R$42&lt;&gt;""),VLOOKUP($R$42,'Barèmes police'!$AX$4:$AY$30,2),0)</f>
        <v>0</v>
      </c>
      <c r="AX24" s="16" t="str">
        <f>IF('Types de jours'!F30&lt;&gt;"",'Types de jours'!F30,"")</f>
        <v/>
      </c>
      <c r="AY24" s="144" t="str">
        <f>IF(AX24&lt;&gt;"",'Types de jours'!I30,"")</f>
        <v/>
      </c>
      <c r="AZ24" s="269"/>
      <c r="BA24" s="154"/>
      <c r="BB24" s="154"/>
      <c r="BC24" s="154"/>
      <c r="BD24" s="154"/>
      <c r="BE24" s="154"/>
      <c r="BF24" s="154"/>
    </row>
    <row r="25" spans="1:58" ht="12.75" customHeight="1" x14ac:dyDescent="0.2">
      <c r="A25" s="34"/>
      <c r="B25" s="24" t="str">
        <f t="shared" si="0"/>
        <v>Di</v>
      </c>
      <c r="C25" s="25">
        <f t="shared" si="22"/>
        <v>45522</v>
      </c>
      <c r="D25" s="51"/>
      <c r="E25" s="116"/>
      <c r="F25" s="52"/>
      <c r="G25" s="53"/>
      <c r="H25" s="52"/>
      <c r="I25" s="53"/>
      <c r="J25" s="54"/>
      <c r="K25" s="55"/>
      <c r="L25" s="40">
        <f t="shared" si="1"/>
        <v>0</v>
      </c>
      <c r="M25" s="41">
        <f t="shared" si="23"/>
        <v>0.31666666666666665</v>
      </c>
      <c r="N25" s="42">
        <f>IF(AND(D25&lt;&gt;"Jour libre 4/5",B25&lt;&gt;"Sa",B25&lt;&gt;"Di"),SUM(N24,Configuration!$H$41),SUM(N24))</f>
        <v>11.083333333333327</v>
      </c>
      <c r="O25" s="49" t="str">
        <f t="shared" si="24"/>
        <v>-</v>
      </c>
      <c r="P25" s="143">
        <f t="shared" si="17"/>
        <v>10.76666666666666</v>
      </c>
      <c r="Q25" s="167">
        <f t="shared" si="18"/>
        <v>0</v>
      </c>
      <c r="R25" s="168">
        <f t="shared" si="18"/>
        <v>0</v>
      </c>
      <c r="S25" s="168">
        <f t="shared" si="18"/>
        <v>0</v>
      </c>
      <c r="T25" s="169">
        <f t="shared" si="18"/>
        <v>0</v>
      </c>
      <c r="U25" s="97">
        <f t="shared" si="2"/>
        <v>0</v>
      </c>
      <c r="V25" s="97">
        <f t="shared" si="3"/>
        <v>0</v>
      </c>
      <c r="W25" s="97">
        <f t="shared" si="4"/>
        <v>0</v>
      </c>
      <c r="X25" s="97">
        <f t="shared" si="5"/>
        <v>0</v>
      </c>
      <c r="Y25" s="209"/>
      <c r="Z25" s="210"/>
      <c r="AA25" s="210"/>
      <c r="AB25" s="128">
        <f>IF(AND(D25="Jour férié semaine",((G25-F25)+(I25-H25)+(K25-J25)=0)),VLOOKUP(D25,Systeemgegevens!$J:$K,2,FALSE),0)</f>
        <v>0</v>
      </c>
      <c r="AC25" s="43">
        <f>IF(AND(NOT(ISERROR(FIND("Congé",D25))),ISERROR(FIND("1/2",D25)),ISERROR(FIND("Synd",D25)),ISERROR(FIND("synd",D25)),(G25-F25+I25-H25+K25-J25)=0),VLOOKUP(D25,Systeemgegevens!$J:$K,2,FALSE),IF(AND(NOT(ISERROR(FIND("1/2 Congé + ",D25))),(G25-F25+I25-H25+K25-J25)=0),VLOOKUP(D25,Systeemgegevens!$J:$K,2,FALSE)/2,IF(AND(NOT(ISERROR(FIND("1/2 Congé",D25))),ISERROR(FIND(" + ",D25)),ISERROR(FIND("1/2 Congé Synd.",D25))),VLOOKUP(D25,Systeemgegevens!$J:$K,2,FALSE),0)))</f>
        <v>0</v>
      </c>
      <c r="AD25" s="43">
        <f>IF(AND(OR(D25="1/2 Congé Synd.",D25="Congé Synd."),((G25-F25)+(I25-H25)+(K25-J25)=0)),VLOOKUP(D25,Systeemgegevens!$J:$K,2,FALSE),IF(AND(D25="1/2 Congé + 1/2 synd.",((G25-F25)+(I25-H25)+(K25-J25)=0)),AC25,0))</f>
        <v>0</v>
      </c>
      <c r="AE25" s="43">
        <f>IF(AND(D25="Jour de pont",((G25-F25)+(I25-H25)+(K25-J25)=0)),VLOOKUP(D25,Systeemgegevens!$J:$K,2,FALSE),0)</f>
        <v>0</v>
      </c>
      <c r="AF25" s="43">
        <f>IF(AND(D25="Jour libre 4/5",AND((G25-F25)+(I25-H25)+(K25-J25)=0)),VLOOKUP(D25,Systeemgegevens!$J:$K,2,FALSE),0)</f>
        <v>0</v>
      </c>
      <c r="AG25" s="118">
        <f>IF(AND(D25&lt;&gt;"",SUM(AB25:AF25)=0,D25&lt;&gt;$AB$4,D25&lt;&gt;$AC$4,D25&lt;&gt;$AE$4,D25&lt;&gt;$AF$4),VLOOKUP(D25,Systeemgegevens!$J:$K,2,FALSE),0)</f>
        <v>0</v>
      </c>
      <c r="AH25" s="119">
        <f t="shared" si="6"/>
        <v>0</v>
      </c>
      <c r="AI25" s="101">
        <f t="shared" si="7"/>
        <v>0</v>
      </c>
      <c r="AJ25" s="118">
        <f t="shared" si="19"/>
        <v>0</v>
      </c>
      <c r="AK25" s="119">
        <f t="shared" si="8"/>
        <v>0</v>
      </c>
      <c r="AL25" s="101">
        <f t="shared" si="9"/>
        <v>0</v>
      </c>
      <c r="AM25" s="43">
        <f t="shared" si="20"/>
        <v>0</v>
      </c>
      <c r="AN25" s="118">
        <f t="shared" si="21"/>
        <v>0</v>
      </c>
      <c r="AO25" s="122">
        <f t="shared" si="10"/>
        <v>0</v>
      </c>
      <c r="AP25" s="107">
        <f t="shared" si="11"/>
        <v>0</v>
      </c>
      <c r="AQ25" s="107">
        <f t="shared" si="12"/>
        <v>0</v>
      </c>
      <c r="AR25" s="123">
        <f t="shared" si="13"/>
        <v>0</v>
      </c>
      <c r="AS25" s="124">
        <f t="shared" si="14"/>
        <v>0</v>
      </c>
      <c r="AT25" s="124">
        <f t="shared" si="15"/>
        <v>0</v>
      </c>
      <c r="AU25" s="124">
        <f t="shared" si="16"/>
        <v>0</v>
      </c>
      <c r="AV25" s="117" t="s">
        <v>20</v>
      </c>
      <c r="AW25" s="129">
        <f>IF(($R$41=AV25)*AND($R$42&lt;&gt;""),VLOOKUP($R$42,'Barèmes police'!$BA$4:$BB$34,2),0)</f>
        <v>0</v>
      </c>
      <c r="AX25" s="16" t="str">
        <f>IF('Types de jours'!F31&lt;&gt;"",'Types de jours'!F31,"")</f>
        <v/>
      </c>
      <c r="AY25" s="144" t="str">
        <f>IF(AX25&lt;&gt;"",'Types de jours'!I31,"")</f>
        <v/>
      </c>
      <c r="AZ25" s="269"/>
      <c r="BA25" s="154"/>
      <c r="BB25" s="154"/>
      <c r="BC25" s="154"/>
      <c r="BD25" s="154"/>
      <c r="BE25" s="154"/>
      <c r="BF25" s="154"/>
    </row>
    <row r="26" spans="1:58" ht="12.75" customHeight="1" x14ac:dyDescent="0.2">
      <c r="A26" s="34"/>
      <c r="B26" s="24" t="str">
        <f t="shared" si="0"/>
        <v>Lu</v>
      </c>
      <c r="C26" s="25">
        <f t="shared" si="22"/>
        <v>45523</v>
      </c>
      <c r="D26" s="51"/>
      <c r="E26" s="116"/>
      <c r="F26" s="52"/>
      <c r="G26" s="53"/>
      <c r="H26" s="54"/>
      <c r="I26" s="55"/>
      <c r="J26" s="54"/>
      <c r="K26" s="55"/>
      <c r="L26" s="40">
        <f t="shared" si="1"/>
        <v>0</v>
      </c>
      <c r="M26" s="41">
        <f t="shared" si="23"/>
        <v>0.31666666666666665</v>
      </c>
      <c r="N26" s="42">
        <f>IF(AND(D26&lt;&gt;"Jour libre 4/5",B26&lt;&gt;"Sa",B26&lt;&gt;"Di"),SUM(N25,Configuration!$H$41),SUM(N25))</f>
        <v>11.399999999999993</v>
      </c>
      <c r="O26" s="49" t="str">
        <f t="shared" si="24"/>
        <v>-</v>
      </c>
      <c r="P26" s="143">
        <f t="shared" si="17"/>
        <v>11.083333333333327</v>
      </c>
      <c r="Q26" s="167">
        <f t="shared" si="18"/>
        <v>0</v>
      </c>
      <c r="R26" s="168">
        <f t="shared" si="18"/>
        <v>0</v>
      </c>
      <c r="S26" s="168">
        <f t="shared" si="18"/>
        <v>0</v>
      </c>
      <c r="T26" s="169">
        <f t="shared" si="18"/>
        <v>0</v>
      </c>
      <c r="U26" s="97">
        <f t="shared" si="2"/>
        <v>0</v>
      </c>
      <c r="V26" s="97">
        <f t="shared" si="3"/>
        <v>0</v>
      </c>
      <c r="W26" s="97">
        <f t="shared" si="4"/>
        <v>0</v>
      </c>
      <c r="X26" s="97">
        <f t="shared" si="5"/>
        <v>0</v>
      </c>
      <c r="Y26" s="209"/>
      <c r="Z26" s="210"/>
      <c r="AA26" s="210"/>
      <c r="AB26" s="128">
        <f>IF(AND(D26="Jour férié semaine",((G26-F26)+(I26-H26)+(K26-J26)=0)),VLOOKUP(D26,Systeemgegevens!$J:$K,2,FALSE),0)</f>
        <v>0</v>
      </c>
      <c r="AC26" s="43">
        <f>IF(AND(NOT(ISERROR(FIND("Congé",D26))),ISERROR(FIND("1/2",D26)),ISERROR(FIND("Synd",D26)),ISERROR(FIND("synd",D26)),(G26-F26+I26-H26+K26-J26)=0),VLOOKUP(D26,Systeemgegevens!$J:$K,2,FALSE),IF(AND(NOT(ISERROR(FIND("1/2 Congé + ",D26))),(G26-F26+I26-H26+K26-J26)=0),VLOOKUP(D26,Systeemgegevens!$J:$K,2,FALSE)/2,IF(AND(NOT(ISERROR(FIND("1/2 Congé",D26))),ISERROR(FIND(" + ",D26)),ISERROR(FIND("1/2 Congé Synd.",D26))),VLOOKUP(D26,Systeemgegevens!$J:$K,2,FALSE),0)))</f>
        <v>0</v>
      </c>
      <c r="AD26" s="43">
        <f>IF(AND(OR(D26="1/2 Congé Synd.",D26="Congé Synd."),((G26-F26)+(I26-H26)+(K26-J26)=0)),VLOOKUP(D26,Systeemgegevens!$J:$K,2,FALSE),IF(AND(D26="1/2 Congé + 1/2 synd.",((G26-F26)+(I26-H26)+(K26-J26)=0)),AC26,0))</f>
        <v>0</v>
      </c>
      <c r="AE26" s="43">
        <f>IF(AND(D26="Jour de pont",((G26-F26)+(I26-H26)+(K26-J26)=0)),VLOOKUP(D26,Systeemgegevens!$J:$K,2,FALSE),0)</f>
        <v>0</v>
      </c>
      <c r="AF26" s="43">
        <f>IF(AND(D26="Jour libre 4/5",AND((G26-F26)+(I26-H26)+(K26-J26)=0)),VLOOKUP(D26,Systeemgegevens!$J:$K,2,FALSE),0)</f>
        <v>0</v>
      </c>
      <c r="AG26" s="118">
        <f>IF(AND(D26&lt;&gt;"",SUM(AB26:AF26)=0,D26&lt;&gt;$AB$4,D26&lt;&gt;$AC$4,D26&lt;&gt;$AE$4,D26&lt;&gt;$AF$4),VLOOKUP(D26,Systeemgegevens!$J:$K,2,FALSE),0)</f>
        <v>0</v>
      </c>
      <c r="AH26" s="119">
        <f t="shared" si="6"/>
        <v>0</v>
      </c>
      <c r="AI26" s="101">
        <f t="shared" si="7"/>
        <v>0</v>
      </c>
      <c r="AJ26" s="118">
        <f t="shared" si="19"/>
        <v>0</v>
      </c>
      <c r="AK26" s="119">
        <f t="shared" si="8"/>
        <v>0</v>
      </c>
      <c r="AL26" s="101">
        <f t="shared" si="9"/>
        <v>0</v>
      </c>
      <c r="AM26" s="43">
        <f t="shared" si="20"/>
        <v>0</v>
      </c>
      <c r="AN26" s="118">
        <f t="shared" si="21"/>
        <v>0</v>
      </c>
      <c r="AO26" s="122">
        <f t="shared" si="10"/>
        <v>0</v>
      </c>
      <c r="AP26" s="107">
        <f t="shared" si="11"/>
        <v>0</v>
      </c>
      <c r="AQ26" s="107">
        <f t="shared" si="12"/>
        <v>0</v>
      </c>
      <c r="AR26" s="123">
        <f t="shared" si="13"/>
        <v>0</v>
      </c>
      <c r="AS26" s="124">
        <f t="shared" si="14"/>
        <v>0</v>
      </c>
      <c r="AT26" s="124">
        <f t="shared" si="15"/>
        <v>0</v>
      </c>
      <c r="AU26" s="124">
        <f t="shared" si="16"/>
        <v>0</v>
      </c>
      <c r="AV26" s="117" t="s">
        <v>19</v>
      </c>
      <c r="AW26" s="129">
        <f>IF(($R$41=AV26)*AND($R$42&lt;&gt;""),VLOOKUP($R$42,'Barèmes police'!$BD$4:$BE$30,2),0)</f>
        <v>0</v>
      </c>
      <c r="AX26" s="16" t="str">
        <f>IF('Types de jours'!F32&lt;&gt;"",'Types de jours'!F32,"")</f>
        <v/>
      </c>
      <c r="AY26" s="144" t="str">
        <f>IF(AX26&lt;&gt;"",'Types de jours'!I32,"")</f>
        <v/>
      </c>
      <c r="AZ26" s="269"/>
      <c r="BA26" s="154"/>
      <c r="BB26" s="154"/>
      <c r="BC26" s="154"/>
      <c r="BD26" s="154"/>
      <c r="BE26" s="154"/>
      <c r="BF26" s="154"/>
    </row>
    <row r="27" spans="1:58" ht="12.75" customHeight="1" x14ac:dyDescent="0.2">
      <c r="A27" s="34"/>
      <c r="B27" s="24" t="str">
        <f t="shared" si="0"/>
        <v>Ma</v>
      </c>
      <c r="C27" s="25">
        <f t="shared" si="22"/>
        <v>45524</v>
      </c>
      <c r="D27" s="51"/>
      <c r="E27" s="116"/>
      <c r="F27" s="52"/>
      <c r="G27" s="53"/>
      <c r="H27" s="54"/>
      <c r="I27" s="55"/>
      <c r="J27" s="54"/>
      <c r="K27" s="55"/>
      <c r="L27" s="40">
        <f t="shared" si="1"/>
        <v>0</v>
      </c>
      <c r="M27" s="41">
        <f t="shared" si="23"/>
        <v>0.31666666666666665</v>
      </c>
      <c r="N27" s="42">
        <f>IF(AND(D27&lt;&gt;"Jour libre 4/5",B27&lt;&gt;"Sa",B27&lt;&gt;"Di"),SUM(N26,Configuration!$H$41),SUM(N26))</f>
        <v>11.71666666666666</v>
      </c>
      <c r="O27" s="49" t="str">
        <f t="shared" si="24"/>
        <v>-</v>
      </c>
      <c r="P27" s="143">
        <f t="shared" si="17"/>
        <v>11.399999999999993</v>
      </c>
      <c r="Q27" s="167">
        <f t="shared" si="18"/>
        <v>0</v>
      </c>
      <c r="R27" s="168">
        <f t="shared" si="18"/>
        <v>0</v>
      </c>
      <c r="S27" s="168">
        <f t="shared" si="18"/>
        <v>0</v>
      </c>
      <c r="T27" s="169">
        <f t="shared" si="18"/>
        <v>0</v>
      </c>
      <c r="U27" s="97">
        <f t="shared" si="2"/>
        <v>0</v>
      </c>
      <c r="V27" s="97">
        <f t="shared" si="3"/>
        <v>0</v>
      </c>
      <c r="W27" s="97">
        <f t="shared" si="4"/>
        <v>0</v>
      </c>
      <c r="X27" s="97">
        <f t="shared" si="5"/>
        <v>0</v>
      </c>
      <c r="Y27" s="209"/>
      <c r="Z27" s="210"/>
      <c r="AA27" s="210"/>
      <c r="AB27" s="128">
        <f>IF(AND(D27="Jour férié semaine",((G27-F27)+(I27-H27)+(K27-J27)=0)),VLOOKUP(D27,Systeemgegevens!$J:$K,2,FALSE),0)</f>
        <v>0</v>
      </c>
      <c r="AC27" s="43">
        <f>IF(AND(NOT(ISERROR(FIND("Congé",D27))),ISERROR(FIND("1/2",D27)),ISERROR(FIND("Synd",D27)),ISERROR(FIND("synd",D27)),(G27-F27+I27-H27+K27-J27)=0),VLOOKUP(D27,Systeemgegevens!$J:$K,2,FALSE),IF(AND(NOT(ISERROR(FIND("1/2 Congé + ",D27))),(G27-F27+I27-H27+K27-J27)=0),VLOOKUP(D27,Systeemgegevens!$J:$K,2,FALSE)/2,IF(AND(NOT(ISERROR(FIND("1/2 Congé",D27))),ISERROR(FIND(" + ",D27)),ISERROR(FIND("1/2 Congé Synd.",D27))),VLOOKUP(D27,Systeemgegevens!$J:$K,2,FALSE),0)))</f>
        <v>0</v>
      </c>
      <c r="AD27" s="43">
        <f>IF(AND(OR(D27="1/2 Congé Synd.",D27="Congé Synd."),((G27-F27)+(I27-H27)+(K27-J27)=0)),VLOOKUP(D27,Systeemgegevens!$J:$K,2,FALSE),IF(AND(D27="1/2 Congé + 1/2 synd.",((G27-F27)+(I27-H27)+(K27-J27)=0)),AC27,0))</f>
        <v>0</v>
      </c>
      <c r="AE27" s="43">
        <f>IF(AND(D27="Jour de pont",((G27-F27)+(I27-H27)+(K27-J27)=0)),VLOOKUP(D27,Systeemgegevens!$J:$K,2,FALSE),0)</f>
        <v>0</v>
      </c>
      <c r="AF27" s="43">
        <f>IF(AND(D27="Jour libre 4/5",AND((G27-F27)+(I27-H27)+(K27-J27)=0)),VLOOKUP(D27,Systeemgegevens!$J:$K,2,FALSE),0)</f>
        <v>0</v>
      </c>
      <c r="AG27" s="118">
        <f>IF(AND(D27&lt;&gt;"",SUM(AB27:AF27)=0,D27&lt;&gt;$AB$4,D27&lt;&gt;$AC$4,D27&lt;&gt;$AE$4,D27&lt;&gt;$AF$4),VLOOKUP(D27,Systeemgegevens!$J:$K,2,FALSE),0)</f>
        <v>0</v>
      </c>
      <c r="AH27" s="119">
        <f t="shared" si="6"/>
        <v>0</v>
      </c>
      <c r="AI27" s="101">
        <f t="shared" si="7"/>
        <v>0</v>
      </c>
      <c r="AJ27" s="118">
        <f t="shared" si="19"/>
        <v>0</v>
      </c>
      <c r="AK27" s="119">
        <f t="shared" si="8"/>
        <v>0</v>
      </c>
      <c r="AL27" s="101">
        <f t="shared" si="9"/>
        <v>0</v>
      </c>
      <c r="AM27" s="43">
        <f t="shared" si="20"/>
        <v>0</v>
      </c>
      <c r="AN27" s="118">
        <f t="shared" si="21"/>
        <v>0</v>
      </c>
      <c r="AO27" s="122">
        <f t="shared" si="10"/>
        <v>0</v>
      </c>
      <c r="AP27" s="107">
        <f t="shared" si="11"/>
        <v>0</v>
      </c>
      <c r="AQ27" s="107">
        <f t="shared" si="12"/>
        <v>0</v>
      </c>
      <c r="AR27" s="123">
        <f t="shared" si="13"/>
        <v>0</v>
      </c>
      <c r="AS27" s="124">
        <f t="shared" si="14"/>
        <v>0</v>
      </c>
      <c r="AT27" s="124">
        <f t="shared" si="15"/>
        <v>0</v>
      </c>
      <c r="AU27" s="124">
        <f t="shared" si="16"/>
        <v>0</v>
      </c>
      <c r="AV27" s="117" t="s">
        <v>18</v>
      </c>
      <c r="AW27" s="129">
        <f>IF(($R$41=AV27)*AND($R$42&lt;&gt;""),VLOOKUP($R$42,'Barèmes police'!$BG$4:$BH$30,2),0)</f>
        <v>0</v>
      </c>
      <c r="AX27" s="16" t="str">
        <f>IF('Types de jours'!F33&lt;&gt;"",'Types de jours'!F33,"")</f>
        <v/>
      </c>
      <c r="AY27" s="144" t="str">
        <f>IF(AX27&lt;&gt;"",'Types de jours'!I33,"")</f>
        <v/>
      </c>
      <c r="AZ27" s="269"/>
      <c r="BA27" s="154"/>
      <c r="BB27" s="154"/>
      <c r="BC27" s="154"/>
      <c r="BD27" s="154"/>
      <c r="BE27" s="154"/>
      <c r="BF27" s="154"/>
    </row>
    <row r="28" spans="1:58" ht="12.75" customHeight="1" x14ac:dyDescent="0.2">
      <c r="A28" s="34"/>
      <c r="B28" s="24" t="str">
        <f t="shared" si="0"/>
        <v>Me</v>
      </c>
      <c r="C28" s="25">
        <f t="shared" si="22"/>
        <v>45525</v>
      </c>
      <c r="D28" s="51"/>
      <c r="E28" s="116"/>
      <c r="F28" s="52"/>
      <c r="G28" s="53"/>
      <c r="H28" s="54"/>
      <c r="I28" s="55"/>
      <c r="J28" s="54"/>
      <c r="K28" s="55"/>
      <c r="L28" s="40">
        <f t="shared" si="1"/>
        <v>0</v>
      </c>
      <c r="M28" s="41">
        <f t="shared" si="23"/>
        <v>0.31666666666666665</v>
      </c>
      <c r="N28" s="42">
        <f>IF(AND(D28&lt;&gt;"Jour libre 4/5",B28&lt;&gt;"Sa",B28&lt;&gt;"Di"),SUM(N27,Configuration!$H$41),SUM(N27))</f>
        <v>12.033333333333326</v>
      </c>
      <c r="O28" s="49" t="str">
        <f t="shared" si="24"/>
        <v>-</v>
      </c>
      <c r="P28" s="143">
        <f t="shared" si="17"/>
        <v>11.71666666666666</v>
      </c>
      <c r="Q28" s="167">
        <f t="shared" si="18"/>
        <v>0</v>
      </c>
      <c r="R28" s="168">
        <f t="shared" si="18"/>
        <v>0</v>
      </c>
      <c r="S28" s="168">
        <f t="shared" si="18"/>
        <v>0</v>
      </c>
      <c r="T28" s="169">
        <f t="shared" si="18"/>
        <v>0</v>
      </c>
      <c r="U28" s="97">
        <f t="shared" si="2"/>
        <v>0</v>
      </c>
      <c r="V28" s="97">
        <f t="shared" si="3"/>
        <v>0</v>
      </c>
      <c r="W28" s="97">
        <f t="shared" si="4"/>
        <v>0</v>
      </c>
      <c r="X28" s="97">
        <f t="shared" si="5"/>
        <v>0</v>
      </c>
      <c r="Y28" s="209"/>
      <c r="Z28" s="210"/>
      <c r="AA28" s="210"/>
      <c r="AB28" s="128">
        <f>IF(AND(D28="Jour férié semaine",((G28-F28)+(I28-H28)+(K28-J28)=0)),VLOOKUP(D28,Systeemgegevens!$J:$K,2,FALSE),0)</f>
        <v>0</v>
      </c>
      <c r="AC28" s="43">
        <f>IF(AND(NOT(ISERROR(FIND("Congé",D28))),ISERROR(FIND("1/2",D28)),ISERROR(FIND("Synd",D28)),ISERROR(FIND("synd",D28)),(G28-F28+I28-H28+K28-J28)=0),VLOOKUP(D28,Systeemgegevens!$J:$K,2,FALSE),IF(AND(NOT(ISERROR(FIND("1/2 Congé + ",D28))),(G28-F28+I28-H28+K28-J28)=0),VLOOKUP(D28,Systeemgegevens!$J:$K,2,FALSE)/2,IF(AND(NOT(ISERROR(FIND("1/2 Congé",D28))),ISERROR(FIND(" + ",D28)),ISERROR(FIND("1/2 Congé Synd.",D28))),VLOOKUP(D28,Systeemgegevens!$J:$K,2,FALSE),0)))</f>
        <v>0</v>
      </c>
      <c r="AD28" s="43">
        <f>IF(AND(OR(D28="1/2 Congé Synd.",D28="Congé Synd."),((G28-F28)+(I28-H28)+(K28-J28)=0)),VLOOKUP(D28,Systeemgegevens!$J:$K,2,FALSE),IF(AND(D28="1/2 Congé + 1/2 synd.",((G28-F28)+(I28-H28)+(K28-J28)=0)),AC28,0))</f>
        <v>0</v>
      </c>
      <c r="AE28" s="43">
        <f>IF(AND(D28="Jour de pont",((G28-F28)+(I28-H28)+(K28-J28)=0)),VLOOKUP(D28,Systeemgegevens!$J:$K,2,FALSE),0)</f>
        <v>0</v>
      </c>
      <c r="AF28" s="43">
        <f>IF(AND(D28="Jour libre 4/5",AND((G28-F28)+(I28-H28)+(K28-J28)=0)),VLOOKUP(D28,Systeemgegevens!$J:$K,2,FALSE),0)</f>
        <v>0</v>
      </c>
      <c r="AG28" s="118">
        <f>IF(AND(D28&lt;&gt;"",SUM(AB28:AF28)=0,D28&lt;&gt;$AB$4,D28&lt;&gt;$AC$4,D28&lt;&gt;$AE$4,D28&lt;&gt;$AF$4),VLOOKUP(D28,Systeemgegevens!$J:$K,2,FALSE),0)</f>
        <v>0</v>
      </c>
      <c r="AH28" s="119">
        <f t="shared" si="6"/>
        <v>0</v>
      </c>
      <c r="AI28" s="101">
        <f t="shared" si="7"/>
        <v>0</v>
      </c>
      <c r="AJ28" s="118">
        <f t="shared" si="19"/>
        <v>0</v>
      </c>
      <c r="AK28" s="119">
        <f t="shared" si="8"/>
        <v>0</v>
      </c>
      <c r="AL28" s="101">
        <f t="shared" si="9"/>
        <v>0</v>
      </c>
      <c r="AM28" s="43">
        <f t="shared" si="20"/>
        <v>0</v>
      </c>
      <c r="AN28" s="118">
        <f t="shared" si="21"/>
        <v>0</v>
      </c>
      <c r="AO28" s="122">
        <f t="shared" si="10"/>
        <v>0</v>
      </c>
      <c r="AP28" s="107">
        <f t="shared" si="11"/>
        <v>0</v>
      </c>
      <c r="AQ28" s="107">
        <f t="shared" si="12"/>
        <v>0</v>
      </c>
      <c r="AR28" s="123">
        <f t="shared" si="13"/>
        <v>0</v>
      </c>
      <c r="AS28" s="124">
        <f t="shared" si="14"/>
        <v>0</v>
      </c>
      <c r="AT28" s="124">
        <f t="shared" si="15"/>
        <v>0</v>
      </c>
      <c r="AU28" s="124">
        <f t="shared" si="16"/>
        <v>0</v>
      </c>
      <c r="AV28" s="117" t="s">
        <v>17</v>
      </c>
      <c r="AW28" s="129">
        <f>IF(($R$41=AV28)*AND($R$42&lt;&gt;""),VLOOKUP($R$42,'Barèmes police'!$BJ$4:$BK$30,2),0)</f>
        <v>0</v>
      </c>
      <c r="AX28" s="16" t="str">
        <f>IF('Types de jours'!F34&lt;&gt;"",'Types de jours'!F34,"")</f>
        <v/>
      </c>
      <c r="AY28" s="144" t="str">
        <f>IF(AX28&lt;&gt;"",'Types de jours'!I34,"")</f>
        <v/>
      </c>
      <c r="AZ28" s="269"/>
      <c r="BA28" s="154"/>
      <c r="BB28" s="154"/>
      <c r="BC28" s="154"/>
      <c r="BD28" s="154"/>
      <c r="BE28" s="154"/>
      <c r="BF28" s="154"/>
    </row>
    <row r="29" spans="1:58" ht="12.75" customHeight="1" x14ac:dyDescent="0.2">
      <c r="A29" s="34"/>
      <c r="B29" s="24" t="str">
        <f t="shared" si="0"/>
        <v>Je</v>
      </c>
      <c r="C29" s="25">
        <f t="shared" si="22"/>
        <v>45526</v>
      </c>
      <c r="D29" s="51"/>
      <c r="E29" s="116"/>
      <c r="F29" s="52"/>
      <c r="G29" s="53"/>
      <c r="H29" s="54"/>
      <c r="I29" s="55"/>
      <c r="J29" s="54"/>
      <c r="K29" s="55"/>
      <c r="L29" s="40">
        <f t="shared" si="1"/>
        <v>0</v>
      </c>
      <c r="M29" s="41">
        <f t="shared" si="23"/>
        <v>0.31666666666666665</v>
      </c>
      <c r="N29" s="42">
        <f>IF(AND(D29&lt;&gt;"Jour libre 4/5",B29&lt;&gt;"Sa",B29&lt;&gt;"Di"),SUM(N28,Configuration!$H$41),SUM(N28))</f>
        <v>12.349999999999993</v>
      </c>
      <c r="O29" s="49" t="str">
        <f t="shared" si="24"/>
        <v>-</v>
      </c>
      <c r="P29" s="143">
        <f t="shared" si="17"/>
        <v>12.033333333333326</v>
      </c>
      <c r="Q29" s="167">
        <f t="shared" si="18"/>
        <v>0</v>
      </c>
      <c r="R29" s="168">
        <f t="shared" si="18"/>
        <v>0</v>
      </c>
      <c r="S29" s="168">
        <f t="shared" si="18"/>
        <v>0</v>
      </c>
      <c r="T29" s="169">
        <f t="shared" si="18"/>
        <v>0</v>
      </c>
      <c r="U29" s="97">
        <f t="shared" si="2"/>
        <v>0</v>
      </c>
      <c r="V29" s="97">
        <f t="shared" si="3"/>
        <v>0</v>
      </c>
      <c r="W29" s="97">
        <f t="shared" si="4"/>
        <v>0</v>
      </c>
      <c r="X29" s="97">
        <f t="shared" si="5"/>
        <v>0</v>
      </c>
      <c r="Y29" s="209"/>
      <c r="Z29" s="210"/>
      <c r="AA29" s="210"/>
      <c r="AB29" s="128">
        <f>IF(AND(D29="Jour férié semaine",((G29-F29)+(I29-H29)+(K29-J29)=0)),VLOOKUP(D29,Systeemgegevens!$J:$K,2,FALSE),0)</f>
        <v>0</v>
      </c>
      <c r="AC29" s="43">
        <f>IF(AND(NOT(ISERROR(FIND("Congé",D29))),ISERROR(FIND("1/2",D29)),ISERROR(FIND("Synd",D29)),ISERROR(FIND("synd",D29)),(G29-F29+I29-H29+K29-J29)=0),VLOOKUP(D29,Systeemgegevens!$J:$K,2,FALSE),IF(AND(NOT(ISERROR(FIND("1/2 Congé + ",D29))),(G29-F29+I29-H29+K29-J29)=0),VLOOKUP(D29,Systeemgegevens!$J:$K,2,FALSE)/2,IF(AND(NOT(ISERROR(FIND("1/2 Congé",D29))),ISERROR(FIND(" + ",D29)),ISERROR(FIND("1/2 Congé Synd.",D29))),VLOOKUP(D29,Systeemgegevens!$J:$K,2,FALSE),0)))</f>
        <v>0</v>
      </c>
      <c r="AD29" s="43">
        <f>IF(AND(OR(D29="1/2 Congé Synd.",D29="Congé Synd."),((G29-F29)+(I29-H29)+(K29-J29)=0)),VLOOKUP(D29,Systeemgegevens!$J:$K,2,FALSE),IF(AND(D29="1/2 Congé + 1/2 synd.",((G29-F29)+(I29-H29)+(K29-J29)=0)),AC29,0))</f>
        <v>0</v>
      </c>
      <c r="AE29" s="43">
        <f>IF(AND(D29="Jour de pont",((G29-F29)+(I29-H29)+(K29-J29)=0)),VLOOKUP(D29,Systeemgegevens!$J:$K,2,FALSE),0)</f>
        <v>0</v>
      </c>
      <c r="AF29" s="43">
        <f>IF(AND(D29="Jour libre 4/5",AND((G29-F29)+(I29-H29)+(K29-J29)=0)),VLOOKUP(D29,Systeemgegevens!$J:$K,2,FALSE),0)</f>
        <v>0</v>
      </c>
      <c r="AG29" s="118">
        <f>IF(AND(D29&lt;&gt;"",SUM(AB29:AF29)=0,D29&lt;&gt;$AB$4,D29&lt;&gt;$AC$4,D29&lt;&gt;$AE$4,D29&lt;&gt;$AF$4),VLOOKUP(D29,Systeemgegevens!$J:$K,2,FALSE),0)</f>
        <v>0</v>
      </c>
      <c r="AH29" s="119">
        <f t="shared" si="6"/>
        <v>0</v>
      </c>
      <c r="AI29" s="101">
        <f t="shared" si="7"/>
        <v>0</v>
      </c>
      <c r="AJ29" s="118">
        <f t="shared" si="19"/>
        <v>0</v>
      </c>
      <c r="AK29" s="119">
        <f t="shared" si="8"/>
        <v>0</v>
      </c>
      <c r="AL29" s="101">
        <f t="shared" si="9"/>
        <v>0</v>
      </c>
      <c r="AM29" s="43">
        <f t="shared" si="20"/>
        <v>0</v>
      </c>
      <c r="AN29" s="118">
        <f t="shared" si="21"/>
        <v>0</v>
      </c>
      <c r="AO29" s="122">
        <f t="shared" si="10"/>
        <v>0</v>
      </c>
      <c r="AP29" s="107">
        <f t="shared" si="11"/>
        <v>0</v>
      </c>
      <c r="AQ29" s="107">
        <f t="shared" si="12"/>
        <v>0</v>
      </c>
      <c r="AR29" s="123">
        <f t="shared" si="13"/>
        <v>0</v>
      </c>
      <c r="AS29" s="124">
        <f t="shared" si="14"/>
        <v>0</v>
      </c>
      <c r="AT29" s="124">
        <f t="shared" si="15"/>
        <v>0</v>
      </c>
      <c r="AU29" s="124">
        <f t="shared" si="16"/>
        <v>0</v>
      </c>
      <c r="AV29" s="117" t="s">
        <v>16</v>
      </c>
      <c r="AW29" s="129">
        <f>IF(($R$41=AV29)*AND($R$42&lt;&gt;""),VLOOKUP($R$42,'Barèmes police'!$BM$4:$BN$30,2),0)</f>
        <v>0</v>
      </c>
      <c r="AX29" s="145" t="str">
        <f>IF('Types de jours'!F35&lt;&gt;"",'Types de jours'!F35,"")</f>
        <v/>
      </c>
      <c r="AY29" s="146" t="str">
        <f>IF(AX29&lt;&gt;"",'Types de jours'!I35,"")</f>
        <v/>
      </c>
      <c r="AZ29" s="269"/>
      <c r="BA29" s="154"/>
      <c r="BB29" s="154"/>
      <c r="BC29" s="154"/>
      <c r="BD29" s="154"/>
      <c r="BE29" s="154"/>
      <c r="BF29" s="154"/>
    </row>
    <row r="30" spans="1:58" ht="12.75" customHeight="1" x14ac:dyDescent="0.2">
      <c r="A30" s="34"/>
      <c r="B30" s="24" t="str">
        <f t="shared" si="0"/>
        <v>Ve</v>
      </c>
      <c r="C30" s="25">
        <f t="shared" si="22"/>
        <v>45527</v>
      </c>
      <c r="D30" s="51"/>
      <c r="E30" s="116"/>
      <c r="F30" s="52"/>
      <c r="G30" s="53"/>
      <c r="H30" s="54"/>
      <c r="I30" s="55"/>
      <c r="J30" s="54"/>
      <c r="K30" s="55"/>
      <c r="L30" s="40">
        <f t="shared" si="1"/>
        <v>0</v>
      </c>
      <c r="M30" s="41">
        <f t="shared" si="23"/>
        <v>0.31666666666666665</v>
      </c>
      <c r="N30" s="42">
        <f>IF(AND(D30&lt;&gt;"Jour libre 4/5",B30&lt;&gt;"Sa",B30&lt;&gt;"Di"),SUM(N29,Configuration!$H$41),SUM(N29))</f>
        <v>12.666666666666659</v>
      </c>
      <c r="O30" s="49" t="str">
        <f t="shared" si="24"/>
        <v>-</v>
      </c>
      <c r="P30" s="143">
        <f t="shared" si="17"/>
        <v>12.349999999999993</v>
      </c>
      <c r="Q30" s="167">
        <f t="shared" si="18"/>
        <v>0</v>
      </c>
      <c r="R30" s="168">
        <f t="shared" si="18"/>
        <v>0</v>
      </c>
      <c r="S30" s="168">
        <f t="shared" si="18"/>
        <v>0</v>
      </c>
      <c r="T30" s="169">
        <f t="shared" si="18"/>
        <v>0</v>
      </c>
      <c r="U30" s="97">
        <f t="shared" si="2"/>
        <v>0</v>
      </c>
      <c r="V30" s="97">
        <f t="shared" si="3"/>
        <v>0</v>
      </c>
      <c r="W30" s="97">
        <f t="shared" si="4"/>
        <v>0</v>
      </c>
      <c r="X30" s="97">
        <f t="shared" si="5"/>
        <v>0</v>
      </c>
      <c r="Y30" s="209"/>
      <c r="Z30" s="210"/>
      <c r="AA30" s="210"/>
      <c r="AB30" s="128">
        <f>IF(AND(D30="Jour férié semaine",((G30-F30)+(I30-H30)+(K30-J30)=0)),VLOOKUP(D30,Systeemgegevens!$J:$K,2,FALSE),0)</f>
        <v>0</v>
      </c>
      <c r="AC30" s="43">
        <f>IF(AND(NOT(ISERROR(FIND("Congé",D30))),ISERROR(FIND("1/2",D30)),ISERROR(FIND("Synd",D30)),ISERROR(FIND("synd",D30)),(G30-F30+I30-H30+K30-J30)=0),VLOOKUP(D30,Systeemgegevens!$J:$K,2,FALSE),IF(AND(NOT(ISERROR(FIND("1/2 Congé + ",D30))),(G30-F30+I30-H30+K30-J30)=0),VLOOKUP(D30,Systeemgegevens!$J:$K,2,FALSE)/2,IF(AND(NOT(ISERROR(FIND("1/2 Congé",D30))),ISERROR(FIND(" + ",D30)),ISERROR(FIND("1/2 Congé Synd.",D30))),VLOOKUP(D30,Systeemgegevens!$J:$K,2,FALSE),0)))</f>
        <v>0</v>
      </c>
      <c r="AD30" s="43">
        <f>IF(AND(OR(D30="1/2 Congé Synd.",D30="Congé Synd."),((G30-F30)+(I30-H30)+(K30-J30)=0)),VLOOKUP(D30,Systeemgegevens!$J:$K,2,FALSE),IF(AND(D30="1/2 Congé + 1/2 synd.",((G30-F30)+(I30-H30)+(K30-J30)=0)),AC30,0))</f>
        <v>0</v>
      </c>
      <c r="AE30" s="43">
        <f>IF(AND(D30="Jour de pont",((G30-F30)+(I30-H30)+(K30-J30)=0)),VLOOKUP(D30,Systeemgegevens!$J:$K,2,FALSE),0)</f>
        <v>0</v>
      </c>
      <c r="AF30" s="43">
        <f>IF(AND(D30="Jour libre 4/5",AND((G30-F30)+(I30-H30)+(K30-J30)=0)),VLOOKUP(D30,Systeemgegevens!$J:$K,2,FALSE),0)</f>
        <v>0</v>
      </c>
      <c r="AG30" s="118">
        <f>IF(AND(D30&lt;&gt;"",SUM(AB30:AF30)=0,D30&lt;&gt;$AB$4,D30&lt;&gt;$AC$4,D30&lt;&gt;$AE$4,D30&lt;&gt;$AF$4),VLOOKUP(D30,Systeemgegevens!$J:$K,2,FALSE),0)</f>
        <v>0</v>
      </c>
      <c r="AH30" s="119">
        <f t="shared" si="6"/>
        <v>0</v>
      </c>
      <c r="AI30" s="101">
        <f t="shared" si="7"/>
        <v>0</v>
      </c>
      <c r="AJ30" s="118">
        <f t="shared" si="19"/>
        <v>0</v>
      </c>
      <c r="AK30" s="119">
        <f t="shared" si="8"/>
        <v>0</v>
      </c>
      <c r="AL30" s="101">
        <f t="shared" si="9"/>
        <v>0</v>
      </c>
      <c r="AM30" s="43">
        <f t="shared" si="20"/>
        <v>0</v>
      </c>
      <c r="AN30" s="118">
        <f t="shared" si="21"/>
        <v>0</v>
      </c>
      <c r="AO30" s="122">
        <f t="shared" si="10"/>
        <v>0</v>
      </c>
      <c r="AP30" s="107">
        <f t="shared" si="11"/>
        <v>0</v>
      </c>
      <c r="AQ30" s="107">
        <f t="shared" si="12"/>
        <v>0</v>
      </c>
      <c r="AR30" s="123">
        <f t="shared" si="13"/>
        <v>0</v>
      </c>
      <c r="AS30" s="124">
        <f t="shared" si="14"/>
        <v>0</v>
      </c>
      <c r="AT30" s="124">
        <f t="shared" si="15"/>
        <v>0</v>
      </c>
      <c r="AU30" s="124">
        <f t="shared" si="16"/>
        <v>0</v>
      </c>
      <c r="AV30" s="117" t="s">
        <v>14</v>
      </c>
      <c r="AW30" s="129">
        <f>IF(($R$41=AV30)*AND($R$42&lt;&gt;""),VLOOKUP($R$42,'Barèmes police'!$B$40:$C$66,2),0)</f>
        <v>0</v>
      </c>
      <c r="AX30" s="129"/>
      <c r="AY30" s="129"/>
      <c r="AZ30" s="154"/>
      <c r="BA30" s="154"/>
      <c r="BB30" s="154"/>
      <c r="BC30" s="154"/>
      <c r="BD30" s="154"/>
      <c r="BE30" s="154"/>
      <c r="BF30" s="154"/>
    </row>
    <row r="31" spans="1:58" ht="12.75" customHeight="1" x14ac:dyDescent="0.2">
      <c r="A31" s="34"/>
      <c r="B31" s="24" t="str">
        <f t="shared" si="0"/>
        <v>Sa</v>
      </c>
      <c r="C31" s="25">
        <f t="shared" si="22"/>
        <v>45528</v>
      </c>
      <c r="D31" s="51"/>
      <c r="E31" s="116"/>
      <c r="F31" s="52"/>
      <c r="G31" s="53"/>
      <c r="H31" s="52"/>
      <c r="I31" s="53"/>
      <c r="J31" s="54"/>
      <c r="K31" s="55"/>
      <c r="L31" s="40">
        <f t="shared" si="1"/>
        <v>0</v>
      </c>
      <c r="M31" s="41">
        <f t="shared" si="23"/>
        <v>0.31666666666666665</v>
      </c>
      <c r="N31" s="42">
        <f>IF(AND(D31&lt;&gt;"Jour libre 4/5",B31&lt;&gt;"Sa",B31&lt;&gt;"Di"),SUM(N30,Configuration!$H$41),SUM(N30))</f>
        <v>12.666666666666659</v>
      </c>
      <c r="O31" s="49" t="str">
        <f t="shared" si="24"/>
        <v>-</v>
      </c>
      <c r="P31" s="143">
        <f t="shared" si="17"/>
        <v>12.349999999999993</v>
      </c>
      <c r="Q31" s="167">
        <f t="shared" si="18"/>
        <v>0</v>
      </c>
      <c r="R31" s="168">
        <f t="shared" si="18"/>
        <v>0</v>
      </c>
      <c r="S31" s="168">
        <f t="shared" si="18"/>
        <v>0</v>
      </c>
      <c r="T31" s="169">
        <f t="shared" si="18"/>
        <v>0</v>
      </c>
      <c r="U31" s="97">
        <f t="shared" si="2"/>
        <v>0</v>
      </c>
      <c r="V31" s="97">
        <f t="shared" si="3"/>
        <v>0</v>
      </c>
      <c r="W31" s="97">
        <f t="shared" si="4"/>
        <v>0</v>
      </c>
      <c r="X31" s="97">
        <f t="shared" si="5"/>
        <v>0</v>
      </c>
      <c r="Y31" s="209"/>
      <c r="Z31" s="210"/>
      <c r="AA31" s="210"/>
      <c r="AB31" s="128">
        <f>IF(AND(D31="Jour férié semaine",((G31-F31)+(I31-H31)+(K31-J31)=0)),VLOOKUP(D31,Systeemgegevens!$J:$K,2,FALSE),0)</f>
        <v>0</v>
      </c>
      <c r="AC31" s="43">
        <f>IF(AND(NOT(ISERROR(FIND("Congé",D31))),ISERROR(FIND("1/2",D31)),ISERROR(FIND("Synd",D31)),ISERROR(FIND("synd",D31)),(G31-F31+I31-H31+K31-J31)=0),VLOOKUP(D31,Systeemgegevens!$J:$K,2,FALSE),IF(AND(NOT(ISERROR(FIND("1/2 Congé + ",D31))),(G31-F31+I31-H31+K31-J31)=0),VLOOKUP(D31,Systeemgegevens!$J:$K,2,FALSE)/2,IF(AND(NOT(ISERROR(FIND("1/2 Congé",D31))),ISERROR(FIND(" + ",D31)),ISERROR(FIND("1/2 Congé Synd.",D31))),VLOOKUP(D31,Systeemgegevens!$J:$K,2,FALSE),0)))</f>
        <v>0</v>
      </c>
      <c r="AD31" s="43">
        <f>IF(AND(OR(D31="1/2 Congé Synd.",D31="Congé Synd."),((G31-F31)+(I31-H31)+(K31-J31)=0)),VLOOKUP(D31,Systeemgegevens!$J:$K,2,FALSE),IF(AND(D31="1/2 Congé + 1/2 synd.",((G31-F31)+(I31-H31)+(K31-J31)=0)),AC31,0))</f>
        <v>0</v>
      </c>
      <c r="AE31" s="43">
        <f>IF(AND(D31="Jour de pont",((G31-F31)+(I31-H31)+(K31-J31)=0)),VLOOKUP(D31,Systeemgegevens!$J:$K,2,FALSE),0)</f>
        <v>0</v>
      </c>
      <c r="AF31" s="43">
        <f>IF(AND(D31="Jour libre 4/5",AND((G31-F31)+(I31-H31)+(K31-J31)=0)),VLOOKUP(D31,Systeemgegevens!$J:$K,2,FALSE),0)</f>
        <v>0</v>
      </c>
      <c r="AG31" s="118">
        <f>IF(AND(D31&lt;&gt;"",SUM(AB31:AF31)=0,D31&lt;&gt;$AB$4,D31&lt;&gt;$AC$4,D31&lt;&gt;$AE$4,D31&lt;&gt;$AF$4),VLOOKUP(D31,Systeemgegevens!$J:$K,2,FALSE),0)</f>
        <v>0</v>
      </c>
      <c r="AH31" s="119">
        <f t="shared" si="6"/>
        <v>0</v>
      </c>
      <c r="AI31" s="101">
        <f t="shared" si="7"/>
        <v>0</v>
      </c>
      <c r="AJ31" s="118">
        <f t="shared" si="19"/>
        <v>0</v>
      </c>
      <c r="AK31" s="119">
        <f t="shared" si="8"/>
        <v>0</v>
      </c>
      <c r="AL31" s="101">
        <f t="shared" si="9"/>
        <v>0</v>
      </c>
      <c r="AM31" s="43">
        <f t="shared" si="20"/>
        <v>0</v>
      </c>
      <c r="AN31" s="118">
        <f t="shared" si="21"/>
        <v>0</v>
      </c>
      <c r="AO31" s="122">
        <f t="shared" si="10"/>
        <v>0</v>
      </c>
      <c r="AP31" s="107">
        <f t="shared" si="11"/>
        <v>0</v>
      </c>
      <c r="AQ31" s="107">
        <f t="shared" si="12"/>
        <v>0</v>
      </c>
      <c r="AR31" s="123">
        <f t="shared" si="13"/>
        <v>0</v>
      </c>
      <c r="AS31" s="124">
        <f t="shared" si="14"/>
        <v>0</v>
      </c>
      <c r="AT31" s="124">
        <f t="shared" si="15"/>
        <v>0</v>
      </c>
      <c r="AU31" s="124">
        <f t="shared" si="16"/>
        <v>0</v>
      </c>
      <c r="AV31" s="117" t="s">
        <v>13</v>
      </c>
      <c r="AW31" s="129">
        <f>IF(($R$41=AV31)*AND($R$42&lt;&gt;""),VLOOKUP($R$42,'Barèmes police'!$E$40:$F$66,2),0)</f>
        <v>0</v>
      </c>
      <c r="AX31" s="129"/>
      <c r="AY31" s="129"/>
      <c r="AZ31" s="154"/>
      <c r="BA31" s="154"/>
      <c r="BB31" s="154"/>
      <c r="BC31" s="154"/>
      <c r="BD31" s="154"/>
      <c r="BE31" s="154"/>
      <c r="BF31" s="154"/>
    </row>
    <row r="32" spans="1:58" ht="12.75" customHeight="1" x14ac:dyDescent="0.2">
      <c r="A32" s="34"/>
      <c r="B32" s="24" t="str">
        <f t="shared" si="0"/>
        <v>Di</v>
      </c>
      <c r="C32" s="25">
        <f t="shared" si="22"/>
        <v>45529</v>
      </c>
      <c r="D32" s="51"/>
      <c r="E32" s="116"/>
      <c r="F32" s="52"/>
      <c r="G32" s="53"/>
      <c r="H32" s="52"/>
      <c r="I32" s="53"/>
      <c r="J32" s="54"/>
      <c r="K32" s="55"/>
      <c r="L32" s="40">
        <f t="shared" si="1"/>
        <v>0</v>
      </c>
      <c r="M32" s="41">
        <f t="shared" si="23"/>
        <v>0.31666666666666665</v>
      </c>
      <c r="N32" s="42">
        <f>IF(AND(D32&lt;&gt;"Jour libre 4/5",B32&lt;&gt;"Sa",B32&lt;&gt;"Di"),SUM(N31,Configuration!$H$41),SUM(N31))</f>
        <v>12.666666666666659</v>
      </c>
      <c r="O32" s="49" t="str">
        <f t="shared" si="24"/>
        <v>-</v>
      </c>
      <c r="P32" s="143">
        <f t="shared" si="17"/>
        <v>12.349999999999993</v>
      </c>
      <c r="Q32" s="167">
        <f t="shared" si="18"/>
        <v>0</v>
      </c>
      <c r="R32" s="168">
        <f t="shared" si="18"/>
        <v>0</v>
      </c>
      <c r="S32" s="168">
        <f t="shared" si="18"/>
        <v>0</v>
      </c>
      <c r="T32" s="169">
        <f t="shared" si="18"/>
        <v>0</v>
      </c>
      <c r="U32" s="97">
        <f t="shared" si="2"/>
        <v>0</v>
      </c>
      <c r="V32" s="97">
        <f t="shared" si="3"/>
        <v>0</v>
      </c>
      <c r="W32" s="97">
        <f t="shared" si="4"/>
        <v>0</v>
      </c>
      <c r="X32" s="97">
        <f t="shared" si="5"/>
        <v>0</v>
      </c>
      <c r="Y32" s="209"/>
      <c r="Z32" s="210"/>
      <c r="AA32" s="210"/>
      <c r="AB32" s="128">
        <f>IF(AND(D32="Jour férié semaine",((G32-F32)+(I32-H32)+(K32-J32)=0)),VLOOKUP(D32,Systeemgegevens!$J:$K,2,FALSE),0)</f>
        <v>0</v>
      </c>
      <c r="AC32" s="43">
        <f>IF(AND(NOT(ISERROR(FIND("Congé",D32))),ISERROR(FIND("1/2",D32)),ISERROR(FIND("Synd",D32)),ISERROR(FIND("synd",D32)),(G32-F32+I32-H32+K32-J32)=0),VLOOKUP(D32,Systeemgegevens!$J:$K,2,FALSE),IF(AND(NOT(ISERROR(FIND("1/2 Congé + ",D32))),(G32-F32+I32-H32+K32-J32)=0),VLOOKUP(D32,Systeemgegevens!$J:$K,2,FALSE)/2,IF(AND(NOT(ISERROR(FIND("1/2 Congé",D32))),ISERROR(FIND(" + ",D32)),ISERROR(FIND("1/2 Congé Synd.",D32))),VLOOKUP(D32,Systeemgegevens!$J:$K,2,FALSE),0)))</f>
        <v>0</v>
      </c>
      <c r="AD32" s="43">
        <f>IF(AND(OR(D32="1/2 Congé Synd.",D32="Congé Synd."),((G32-F32)+(I32-H32)+(K32-J32)=0)),VLOOKUP(D32,Systeemgegevens!$J:$K,2,FALSE),IF(AND(D32="1/2 Congé + 1/2 synd.",((G32-F32)+(I32-H32)+(K32-J32)=0)),AC32,0))</f>
        <v>0</v>
      </c>
      <c r="AE32" s="43">
        <f>IF(AND(D32="Jour de pont",((G32-F32)+(I32-H32)+(K32-J32)=0)),VLOOKUP(D32,Systeemgegevens!$J:$K,2,FALSE),0)</f>
        <v>0</v>
      </c>
      <c r="AF32" s="43">
        <f>IF(AND(D32="Jour libre 4/5",AND((G32-F32)+(I32-H32)+(K32-J32)=0)),VLOOKUP(D32,Systeemgegevens!$J:$K,2,FALSE),0)</f>
        <v>0</v>
      </c>
      <c r="AG32" s="118">
        <f>IF(AND(D32&lt;&gt;"",SUM(AB32:AF32)=0,D32&lt;&gt;$AB$4,D32&lt;&gt;$AC$4,D32&lt;&gt;$AE$4,D32&lt;&gt;$AF$4),VLOOKUP(D32,Systeemgegevens!$J:$K,2,FALSE),0)</f>
        <v>0</v>
      </c>
      <c r="AH32" s="119">
        <f t="shared" si="6"/>
        <v>0</v>
      </c>
      <c r="AI32" s="101">
        <f t="shared" si="7"/>
        <v>0</v>
      </c>
      <c r="AJ32" s="118">
        <f t="shared" si="19"/>
        <v>0</v>
      </c>
      <c r="AK32" s="119">
        <f t="shared" si="8"/>
        <v>0</v>
      </c>
      <c r="AL32" s="101">
        <f t="shared" si="9"/>
        <v>0</v>
      </c>
      <c r="AM32" s="43">
        <f t="shared" si="20"/>
        <v>0</v>
      </c>
      <c r="AN32" s="118">
        <f t="shared" si="21"/>
        <v>0</v>
      </c>
      <c r="AO32" s="122">
        <f t="shared" si="10"/>
        <v>0</v>
      </c>
      <c r="AP32" s="107">
        <f t="shared" si="11"/>
        <v>0</v>
      </c>
      <c r="AQ32" s="107">
        <f t="shared" si="12"/>
        <v>0</v>
      </c>
      <c r="AR32" s="123">
        <f t="shared" si="13"/>
        <v>0</v>
      </c>
      <c r="AS32" s="124">
        <f t="shared" si="14"/>
        <v>0</v>
      </c>
      <c r="AT32" s="124">
        <f t="shared" si="15"/>
        <v>0</v>
      </c>
      <c r="AU32" s="124">
        <f t="shared" si="16"/>
        <v>0</v>
      </c>
      <c r="AV32" s="117" t="s">
        <v>7</v>
      </c>
      <c r="AW32" s="129">
        <f>IF(($R$41=AV32)*AND($R$42&lt;&gt;""),VLOOKUP($R$42,'Barèmes police'!$AC$40:$AD$66,2),0)</f>
        <v>0</v>
      </c>
      <c r="AX32" s="129"/>
      <c r="AY32" s="129"/>
      <c r="AZ32" s="154"/>
      <c r="BA32" s="154"/>
      <c r="BB32" s="154"/>
      <c r="BC32" s="154"/>
      <c r="BD32" s="154"/>
      <c r="BE32" s="154"/>
      <c r="BF32" s="154"/>
    </row>
    <row r="33" spans="1:58" ht="12.75" customHeight="1" x14ac:dyDescent="0.2">
      <c r="A33" s="34"/>
      <c r="B33" s="24" t="str">
        <f t="shared" si="0"/>
        <v>Lu</v>
      </c>
      <c r="C33" s="25">
        <f t="shared" si="22"/>
        <v>45530</v>
      </c>
      <c r="D33" s="51"/>
      <c r="E33" s="116"/>
      <c r="F33" s="52"/>
      <c r="G33" s="53"/>
      <c r="H33" s="54"/>
      <c r="I33" s="55"/>
      <c r="J33" s="54"/>
      <c r="K33" s="55"/>
      <c r="L33" s="40">
        <f t="shared" si="1"/>
        <v>0</v>
      </c>
      <c r="M33" s="41">
        <f t="shared" si="23"/>
        <v>0.31666666666666665</v>
      </c>
      <c r="N33" s="42">
        <f>IF(AND(D33&lt;&gt;"Jour libre 4/5",B33&lt;&gt;"Sa",B33&lt;&gt;"Di"),SUM(N32,Configuration!$H$41),SUM(N32))</f>
        <v>12.983333333333325</v>
      </c>
      <c r="O33" s="49" t="str">
        <f t="shared" si="24"/>
        <v>-</v>
      </c>
      <c r="P33" s="143">
        <f t="shared" si="17"/>
        <v>12.666666666666659</v>
      </c>
      <c r="Q33" s="167">
        <f t="shared" si="18"/>
        <v>0</v>
      </c>
      <c r="R33" s="168">
        <f t="shared" si="18"/>
        <v>0</v>
      </c>
      <c r="S33" s="168">
        <f t="shared" si="18"/>
        <v>0</v>
      </c>
      <c r="T33" s="169">
        <f t="shared" si="18"/>
        <v>0</v>
      </c>
      <c r="U33" s="97">
        <f t="shared" si="2"/>
        <v>0</v>
      </c>
      <c r="V33" s="97">
        <f t="shared" si="3"/>
        <v>0</v>
      </c>
      <c r="W33" s="97">
        <f t="shared" si="4"/>
        <v>0</v>
      </c>
      <c r="X33" s="97">
        <f t="shared" si="5"/>
        <v>0</v>
      </c>
      <c r="Y33" s="209"/>
      <c r="Z33" s="210"/>
      <c r="AA33" s="210"/>
      <c r="AB33" s="128">
        <f>IF(AND(D33="Jour férié semaine",((G33-F33)+(I33-H33)+(K33-J33)=0)),VLOOKUP(D33,Systeemgegevens!$J:$K,2,FALSE),0)</f>
        <v>0</v>
      </c>
      <c r="AC33" s="43">
        <f>IF(AND(NOT(ISERROR(FIND("Congé",D33))),ISERROR(FIND("1/2",D33)),ISERROR(FIND("Synd",D33)),ISERROR(FIND("synd",D33)),(G33-F33+I33-H33+K33-J33)=0),VLOOKUP(D33,Systeemgegevens!$J:$K,2,FALSE),IF(AND(NOT(ISERROR(FIND("1/2 Congé + ",D33))),(G33-F33+I33-H33+K33-J33)=0),VLOOKUP(D33,Systeemgegevens!$J:$K,2,FALSE)/2,IF(AND(NOT(ISERROR(FIND("1/2 Congé",D33))),ISERROR(FIND(" + ",D33)),ISERROR(FIND("1/2 Congé Synd.",D33))),VLOOKUP(D33,Systeemgegevens!$J:$K,2,FALSE),0)))</f>
        <v>0</v>
      </c>
      <c r="AD33" s="43">
        <f>IF(AND(OR(D33="1/2 Congé Synd.",D33="Congé Synd."),((G33-F33)+(I33-H33)+(K33-J33)=0)),VLOOKUP(D33,Systeemgegevens!$J:$K,2,FALSE),IF(AND(D33="1/2 Congé + 1/2 synd.",((G33-F33)+(I33-H33)+(K33-J33)=0)),AC33,0))</f>
        <v>0</v>
      </c>
      <c r="AE33" s="43">
        <f>IF(AND(D33="Jour de pont",((G33-F33)+(I33-H33)+(K33-J33)=0)),VLOOKUP(D33,Systeemgegevens!$J:$K,2,FALSE),0)</f>
        <v>0</v>
      </c>
      <c r="AF33" s="43">
        <f>IF(AND(D33="Jour libre 4/5",AND((G33-F33)+(I33-H33)+(K33-J33)=0)),VLOOKUP(D33,Systeemgegevens!$J:$K,2,FALSE),0)</f>
        <v>0</v>
      </c>
      <c r="AG33" s="118">
        <f>IF(AND(D33&lt;&gt;"",SUM(AB33:AF33)=0,D33&lt;&gt;$AB$4,D33&lt;&gt;$AC$4,D33&lt;&gt;$AE$4,D33&lt;&gt;$AF$4),VLOOKUP(D33,Systeemgegevens!$J:$K,2,FALSE),0)</f>
        <v>0</v>
      </c>
      <c r="AH33" s="119">
        <f t="shared" si="6"/>
        <v>0</v>
      </c>
      <c r="AI33" s="101">
        <f t="shared" si="7"/>
        <v>0</v>
      </c>
      <c r="AJ33" s="118">
        <f t="shared" si="19"/>
        <v>0</v>
      </c>
      <c r="AK33" s="119">
        <f t="shared" si="8"/>
        <v>0</v>
      </c>
      <c r="AL33" s="101">
        <f t="shared" si="9"/>
        <v>0</v>
      </c>
      <c r="AM33" s="43">
        <f t="shared" si="20"/>
        <v>0</v>
      </c>
      <c r="AN33" s="118">
        <f t="shared" si="21"/>
        <v>0</v>
      </c>
      <c r="AO33" s="122">
        <f t="shared" si="10"/>
        <v>0</v>
      </c>
      <c r="AP33" s="107">
        <f t="shared" si="11"/>
        <v>0</v>
      </c>
      <c r="AQ33" s="107">
        <f t="shared" si="12"/>
        <v>0</v>
      </c>
      <c r="AR33" s="123">
        <f t="shared" si="13"/>
        <v>0</v>
      </c>
      <c r="AS33" s="124">
        <f t="shared" si="14"/>
        <v>0</v>
      </c>
      <c r="AT33" s="124">
        <f t="shared" si="15"/>
        <v>0</v>
      </c>
      <c r="AU33" s="124">
        <f t="shared" si="16"/>
        <v>0</v>
      </c>
      <c r="AV33" s="117" t="s">
        <v>12</v>
      </c>
      <c r="AW33" s="129">
        <f>IF(($R$41=AV33)*AND($R$42&lt;&gt;""),VLOOKUP($R$42,'Barèmes police'!$H$40:$I$66,2),0)</f>
        <v>0</v>
      </c>
      <c r="AX33" s="129"/>
      <c r="AY33" s="129"/>
      <c r="AZ33" s="154"/>
      <c r="BA33" s="154"/>
      <c r="BB33" s="154"/>
      <c r="BC33" s="154"/>
      <c r="BD33" s="154"/>
      <c r="BE33" s="154"/>
      <c r="BF33" s="154"/>
    </row>
    <row r="34" spans="1:58" ht="12.75" customHeight="1" x14ac:dyDescent="0.2">
      <c r="A34" s="34"/>
      <c r="B34" s="24" t="str">
        <f t="shared" si="0"/>
        <v>Ma</v>
      </c>
      <c r="C34" s="25">
        <f t="shared" si="22"/>
        <v>45531</v>
      </c>
      <c r="D34" s="51"/>
      <c r="E34" s="116"/>
      <c r="F34" s="52"/>
      <c r="G34" s="53"/>
      <c r="H34" s="54"/>
      <c r="I34" s="55"/>
      <c r="J34" s="54"/>
      <c r="K34" s="55"/>
      <c r="L34" s="40">
        <f t="shared" si="1"/>
        <v>0</v>
      </c>
      <c r="M34" s="41">
        <f t="shared" si="23"/>
        <v>0.31666666666666665</v>
      </c>
      <c r="N34" s="42">
        <f>IF(AND(D34&lt;&gt;"Jour libre 4/5",B34&lt;&gt;"Sa",B34&lt;&gt;"Di"),SUM(N33,Configuration!$H$41),SUM(N33))</f>
        <v>13.299999999999992</v>
      </c>
      <c r="O34" s="49" t="str">
        <f t="shared" si="24"/>
        <v>-</v>
      </c>
      <c r="P34" s="143">
        <f t="shared" si="17"/>
        <v>12.983333333333325</v>
      </c>
      <c r="Q34" s="167">
        <f t="shared" si="18"/>
        <v>0</v>
      </c>
      <c r="R34" s="168">
        <f t="shared" si="18"/>
        <v>0</v>
      </c>
      <c r="S34" s="168">
        <f t="shared" si="18"/>
        <v>0</v>
      </c>
      <c r="T34" s="169">
        <f t="shared" si="18"/>
        <v>0</v>
      </c>
      <c r="U34" s="97">
        <f t="shared" si="2"/>
        <v>0</v>
      </c>
      <c r="V34" s="97">
        <f t="shared" si="3"/>
        <v>0</v>
      </c>
      <c r="W34" s="97">
        <f t="shared" si="4"/>
        <v>0</v>
      </c>
      <c r="X34" s="97">
        <f t="shared" si="5"/>
        <v>0</v>
      </c>
      <c r="Y34" s="209"/>
      <c r="Z34" s="210"/>
      <c r="AA34" s="210"/>
      <c r="AB34" s="128">
        <f>IF(AND(D34="Jour férié semaine",((G34-F34)+(I34-H34)+(K34-J34)=0)),VLOOKUP(D34,Systeemgegevens!$J:$K,2,FALSE),0)</f>
        <v>0</v>
      </c>
      <c r="AC34" s="43">
        <f>IF(AND(NOT(ISERROR(FIND("Congé",D34))),ISERROR(FIND("1/2",D34)),ISERROR(FIND("Synd",D34)),ISERROR(FIND("synd",D34)),(G34-F34+I34-H34+K34-J34)=0),VLOOKUP(D34,Systeemgegevens!$J:$K,2,FALSE),IF(AND(NOT(ISERROR(FIND("1/2 Congé + ",D34))),(G34-F34+I34-H34+K34-J34)=0),VLOOKUP(D34,Systeemgegevens!$J:$K,2,FALSE)/2,IF(AND(NOT(ISERROR(FIND("1/2 Congé",D34))),ISERROR(FIND(" + ",D34)),ISERROR(FIND("1/2 Congé Synd.",D34))),VLOOKUP(D34,Systeemgegevens!$J:$K,2,FALSE),0)))</f>
        <v>0</v>
      </c>
      <c r="AD34" s="43">
        <f>IF(AND(OR(D34="1/2 Congé Synd.",D34="Congé Synd."),((G34-F34)+(I34-H34)+(K34-J34)=0)),VLOOKUP(D34,Systeemgegevens!$J:$K,2,FALSE),IF(AND(D34="1/2 Congé + 1/2 synd.",((G34-F34)+(I34-H34)+(K34-J34)=0)),AC34,0))</f>
        <v>0</v>
      </c>
      <c r="AE34" s="43">
        <f>IF(AND(D34="Jour de pont",((G34-F34)+(I34-H34)+(K34-J34)=0)),VLOOKUP(D34,Systeemgegevens!$J:$K,2,FALSE),0)</f>
        <v>0</v>
      </c>
      <c r="AF34" s="43">
        <f>IF(AND(D34="Jour libre 4/5",AND((G34-F34)+(I34-H34)+(K34-J34)=0)),VLOOKUP(D34,Systeemgegevens!$J:$K,2,FALSE),0)</f>
        <v>0</v>
      </c>
      <c r="AG34" s="118">
        <f>IF(AND(D34&lt;&gt;"",SUM(AB34:AF34)=0,D34&lt;&gt;$AB$4,D34&lt;&gt;$AC$4,D34&lt;&gt;$AE$4,D34&lt;&gt;$AF$4),VLOOKUP(D34,Systeemgegevens!$J:$K,2,FALSE),0)</f>
        <v>0</v>
      </c>
      <c r="AH34" s="119">
        <f t="shared" si="6"/>
        <v>0</v>
      </c>
      <c r="AI34" s="101">
        <f t="shared" si="7"/>
        <v>0</v>
      </c>
      <c r="AJ34" s="118">
        <f t="shared" si="19"/>
        <v>0</v>
      </c>
      <c r="AK34" s="119">
        <f t="shared" si="8"/>
        <v>0</v>
      </c>
      <c r="AL34" s="101">
        <f t="shared" si="9"/>
        <v>0</v>
      </c>
      <c r="AM34" s="43">
        <f t="shared" si="20"/>
        <v>0</v>
      </c>
      <c r="AN34" s="118">
        <f t="shared" si="21"/>
        <v>0</v>
      </c>
      <c r="AO34" s="122">
        <f t="shared" si="10"/>
        <v>0</v>
      </c>
      <c r="AP34" s="107">
        <f t="shared" si="11"/>
        <v>0</v>
      </c>
      <c r="AQ34" s="107">
        <f t="shared" si="12"/>
        <v>0</v>
      </c>
      <c r="AR34" s="123">
        <f t="shared" si="13"/>
        <v>0</v>
      </c>
      <c r="AS34" s="124">
        <f t="shared" si="14"/>
        <v>0</v>
      </c>
      <c r="AT34" s="124">
        <f t="shared" si="15"/>
        <v>0</v>
      </c>
      <c r="AU34" s="124">
        <f t="shared" si="16"/>
        <v>0</v>
      </c>
      <c r="AV34" s="117" t="s">
        <v>6</v>
      </c>
      <c r="AW34" s="129">
        <f>IF(($R$41=AV34)*AND($R$42&lt;&gt;""),VLOOKUP($R$42,'Barèmes police'!$AF$40:$AG$66,2),0)</f>
        <v>0</v>
      </c>
      <c r="AX34" s="129"/>
      <c r="AY34" s="129"/>
      <c r="AZ34" s="154"/>
      <c r="BA34" s="154"/>
      <c r="BB34" s="154"/>
      <c r="BC34" s="154"/>
      <c r="BD34" s="154"/>
      <c r="BE34" s="154"/>
      <c r="BF34" s="154"/>
    </row>
    <row r="35" spans="1:58" ht="12.75" customHeight="1" x14ac:dyDescent="0.2">
      <c r="A35" s="34"/>
      <c r="B35" s="24" t="str">
        <f t="shared" si="0"/>
        <v>Me</v>
      </c>
      <c r="C35" s="25">
        <f t="shared" si="22"/>
        <v>45532</v>
      </c>
      <c r="D35" s="51"/>
      <c r="E35" s="116"/>
      <c r="F35" s="52"/>
      <c r="G35" s="53"/>
      <c r="H35" s="54"/>
      <c r="I35" s="55"/>
      <c r="J35" s="54"/>
      <c r="K35" s="55"/>
      <c r="L35" s="40">
        <f t="shared" si="1"/>
        <v>0</v>
      </c>
      <c r="M35" s="41">
        <f t="shared" si="23"/>
        <v>0.31666666666666665</v>
      </c>
      <c r="N35" s="42">
        <f>IF(AND(D35&lt;&gt;"Jour libre 4/5",B35&lt;&gt;"Sa",B35&lt;&gt;"Di"),SUM(N34,Configuration!$H$41),SUM(N34))</f>
        <v>13.616666666666658</v>
      </c>
      <c r="O35" s="49" t="str">
        <f t="shared" si="24"/>
        <v>-</v>
      </c>
      <c r="P35" s="143">
        <f t="shared" si="17"/>
        <v>13.299999999999992</v>
      </c>
      <c r="Q35" s="167">
        <f t="shared" si="18"/>
        <v>0</v>
      </c>
      <c r="R35" s="168">
        <f t="shared" si="18"/>
        <v>0</v>
      </c>
      <c r="S35" s="168">
        <f t="shared" si="18"/>
        <v>0</v>
      </c>
      <c r="T35" s="169">
        <f t="shared" si="18"/>
        <v>0</v>
      </c>
      <c r="U35" s="97">
        <f t="shared" si="2"/>
        <v>0</v>
      </c>
      <c r="V35" s="97">
        <f t="shared" si="3"/>
        <v>0</v>
      </c>
      <c r="W35" s="97">
        <f t="shared" si="4"/>
        <v>0</v>
      </c>
      <c r="X35" s="97">
        <f t="shared" si="5"/>
        <v>0</v>
      </c>
      <c r="Y35" s="209"/>
      <c r="Z35" s="210"/>
      <c r="AA35" s="210"/>
      <c r="AB35" s="128">
        <f>IF(AND(D35="Jour férié semaine",((G35-F35)+(I35-H35)+(K35-J35)=0)),VLOOKUP(D35,Systeemgegevens!$J:$K,2,FALSE),0)</f>
        <v>0</v>
      </c>
      <c r="AC35" s="43">
        <f>IF(AND(NOT(ISERROR(FIND("Congé",D35))),ISERROR(FIND("1/2",D35)),ISERROR(FIND("Synd",D35)),ISERROR(FIND("synd",D35)),(G35-F35+I35-H35+K35-J35)=0),VLOOKUP(D35,Systeemgegevens!$J:$K,2,FALSE),IF(AND(NOT(ISERROR(FIND("1/2 Congé + ",D35))),(G35-F35+I35-H35+K35-J35)=0),VLOOKUP(D35,Systeemgegevens!$J:$K,2,FALSE)/2,IF(AND(NOT(ISERROR(FIND("1/2 Congé",D35))),ISERROR(FIND(" + ",D35)),ISERROR(FIND("1/2 Congé Synd.",D35))),VLOOKUP(D35,Systeemgegevens!$J:$K,2,FALSE),0)))</f>
        <v>0</v>
      </c>
      <c r="AD35" s="43">
        <f>IF(AND(OR(D35="1/2 Congé Synd.",D35="Congé Synd."),((G35-F35)+(I35-H35)+(K35-J35)=0)),VLOOKUP(D35,Systeemgegevens!$J:$K,2,FALSE),IF(AND(D35="1/2 Congé + 1/2 synd.",((G35-F35)+(I35-H35)+(K35-J35)=0)),AC35,0))</f>
        <v>0</v>
      </c>
      <c r="AE35" s="43">
        <f>IF(AND(D35="Jour de pont",((G35-F35)+(I35-H35)+(K35-J35)=0)),VLOOKUP(D35,Systeemgegevens!$J:$K,2,FALSE),0)</f>
        <v>0</v>
      </c>
      <c r="AF35" s="43">
        <f>IF(AND(D35="Jour libre 4/5",AND((G35-F35)+(I35-H35)+(K35-J35)=0)),VLOOKUP(D35,Systeemgegevens!$J:$K,2,FALSE),0)</f>
        <v>0</v>
      </c>
      <c r="AG35" s="118">
        <f>IF(AND(D35&lt;&gt;"",SUM(AB35:AF35)=0,D35&lt;&gt;$AB$4,D35&lt;&gt;$AC$4,D35&lt;&gt;$AE$4,D35&lt;&gt;$AF$4),VLOOKUP(D35,Systeemgegevens!$J:$K,2,FALSE),0)</f>
        <v>0</v>
      </c>
      <c r="AH35" s="119">
        <f t="shared" si="6"/>
        <v>0</v>
      </c>
      <c r="AI35" s="101">
        <f t="shared" si="7"/>
        <v>0</v>
      </c>
      <c r="AJ35" s="118">
        <f t="shared" si="19"/>
        <v>0</v>
      </c>
      <c r="AK35" s="119">
        <f t="shared" si="8"/>
        <v>0</v>
      </c>
      <c r="AL35" s="101">
        <f t="shared" si="9"/>
        <v>0</v>
      </c>
      <c r="AM35" s="43">
        <f t="shared" si="20"/>
        <v>0</v>
      </c>
      <c r="AN35" s="118">
        <f t="shared" si="21"/>
        <v>0</v>
      </c>
      <c r="AO35" s="122">
        <f t="shared" si="10"/>
        <v>0</v>
      </c>
      <c r="AP35" s="107">
        <f t="shared" si="11"/>
        <v>0</v>
      </c>
      <c r="AQ35" s="107">
        <f t="shared" si="12"/>
        <v>0</v>
      </c>
      <c r="AR35" s="123">
        <f t="shared" si="13"/>
        <v>0</v>
      </c>
      <c r="AS35" s="124">
        <f t="shared" si="14"/>
        <v>0</v>
      </c>
      <c r="AT35" s="124">
        <f t="shared" si="15"/>
        <v>0</v>
      </c>
      <c r="AU35" s="124">
        <f t="shared" si="16"/>
        <v>0</v>
      </c>
      <c r="AV35" s="117" t="s">
        <v>11</v>
      </c>
      <c r="AW35" s="129">
        <f>IF(($R$41=AV35)*AND($R$42&lt;&gt;""),VLOOKUP($R$42,'Barèmes police'!$K$40:$L$66,2),0)</f>
        <v>0</v>
      </c>
      <c r="AX35" s="129"/>
      <c r="AY35" s="129"/>
      <c r="AZ35" s="154"/>
      <c r="BA35" s="154"/>
      <c r="BB35" s="154"/>
      <c r="BC35" s="154"/>
      <c r="BD35" s="154"/>
      <c r="BE35" s="154"/>
      <c r="BF35" s="154"/>
    </row>
    <row r="36" spans="1:58" ht="12.75" customHeight="1" x14ac:dyDescent="0.2">
      <c r="A36" s="34"/>
      <c r="B36" s="24" t="str">
        <f t="shared" si="0"/>
        <v>Je</v>
      </c>
      <c r="C36" s="25">
        <f t="shared" si="22"/>
        <v>45533</v>
      </c>
      <c r="D36" s="51"/>
      <c r="E36" s="116"/>
      <c r="F36" s="52"/>
      <c r="G36" s="53"/>
      <c r="H36" s="54"/>
      <c r="I36" s="55"/>
      <c r="J36" s="54"/>
      <c r="K36" s="55"/>
      <c r="L36" s="40">
        <f t="shared" si="1"/>
        <v>0</v>
      </c>
      <c r="M36" s="41">
        <f t="shared" si="23"/>
        <v>0.31666666666666665</v>
      </c>
      <c r="N36" s="42">
        <f>IF(AND(D36&lt;&gt;"Jour libre 4/5",B36&lt;&gt;"Sa",B36&lt;&gt;"Di"),SUM(N35,Configuration!$H$41),SUM(N35))</f>
        <v>13.933333333333325</v>
      </c>
      <c r="O36" s="49" t="str">
        <f t="shared" si="24"/>
        <v>-</v>
      </c>
      <c r="P36" s="143">
        <f t="shared" si="17"/>
        <v>13.616666666666658</v>
      </c>
      <c r="Q36" s="167">
        <f t="shared" si="18"/>
        <v>0</v>
      </c>
      <c r="R36" s="168">
        <f t="shared" si="18"/>
        <v>0</v>
      </c>
      <c r="S36" s="168">
        <f t="shared" si="18"/>
        <v>0</v>
      </c>
      <c r="T36" s="169">
        <f t="shared" si="18"/>
        <v>0</v>
      </c>
      <c r="U36" s="97">
        <f t="shared" si="2"/>
        <v>0</v>
      </c>
      <c r="V36" s="97">
        <f t="shared" si="3"/>
        <v>0</v>
      </c>
      <c r="W36" s="97">
        <f t="shared" si="4"/>
        <v>0</v>
      </c>
      <c r="X36" s="97">
        <f t="shared" si="5"/>
        <v>0</v>
      </c>
      <c r="Y36" s="209"/>
      <c r="Z36" s="210"/>
      <c r="AA36" s="210"/>
      <c r="AB36" s="128">
        <f>IF(AND(D36="Jour férié semaine",((G36-F36)+(I36-H36)+(K36-J36)=0)),VLOOKUP(D36,Systeemgegevens!$J:$K,2,FALSE),0)</f>
        <v>0</v>
      </c>
      <c r="AC36" s="43">
        <f>IF(AND(NOT(ISERROR(FIND("Congé",D36))),ISERROR(FIND("1/2",D36)),ISERROR(FIND("Synd",D36)),ISERROR(FIND("synd",D36)),(G36-F36+I36-H36+K36-J36)=0),VLOOKUP(D36,Systeemgegevens!$J:$K,2,FALSE),IF(AND(NOT(ISERROR(FIND("1/2 Congé + ",D36))),(G36-F36+I36-H36+K36-J36)=0),VLOOKUP(D36,Systeemgegevens!$J:$K,2,FALSE)/2,IF(AND(NOT(ISERROR(FIND("1/2 Congé",D36))),ISERROR(FIND(" + ",D36)),ISERROR(FIND("1/2 Congé Synd.",D36))),VLOOKUP(D36,Systeemgegevens!$J:$K,2,FALSE),0)))</f>
        <v>0</v>
      </c>
      <c r="AD36" s="43">
        <f>IF(AND(OR(D36="1/2 Congé Synd.",D36="Congé Synd."),((G36-F36)+(I36-H36)+(K36-J36)=0)),VLOOKUP(D36,Systeemgegevens!$J:$K,2,FALSE),IF(AND(D36="1/2 Congé + 1/2 synd.",((G36-F36)+(I36-H36)+(K36-J36)=0)),AC36,0))</f>
        <v>0</v>
      </c>
      <c r="AE36" s="43">
        <f>IF(AND(D36="Jour de pont",((G36-F36)+(I36-H36)+(K36-J36)=0)),VLOOKUP(D36,Systeemgegevens!$J:$K,2,FALSE),0)</f>
        <v>0</v>
      </c>
      <c r="AF36" s="43">
        <f>IF(AND(D36="Jour libre 4/5",AND((G36-F36)+(I36-H36)+(K36-J36)=0)),VLOOKUP(D36,Systeemgegevens!$J:$K,2,FALSE),0)</f>
        <v>0</v>
      </c>
      <c r="AG36" s="118">
        <f>IF(AND(D36&lt;&gt;"",SUM(AB36:AF36)=0,D36&lt;&gt;$AB$4,D36&lt;&gt;$AC$4,D36&lt;&gt;$AE$4,D36&lt;&gt;$AF$4),VLOOKUP(D36,Systeemgegevens!$J:$K,2,FALSE),0)</f>
        <v>0</v>
      </c>
      <c r="AH36" s="119">
        <f t="shared" si="6"/>
        <v>0</v>
      </c>
      <c r="AI36" s="101">
        <f t="shared" si="7"/>
        <v>0</v>
      </c>
      <c r="AJ36" s="118">
        <f t="shared" si="19"/>
        <v>0</v>
      </c>
      <c r="AK36" s="119">
        <f t="shared" si="8"/>
        <v>0</v>
      </c>
      <c r="AL36" s="101">
        <f t="shared" si="9"/>
        <v>0</v>
      </c>
      <c r="AM36" s="43">
        <f t="shared" si="20"/>
        <v>0</v>
      </c>
      <c r="AN36" s="118">
        <f t="shared" si="21"/>
        <v>0</v>
      </c>
      <c r="AO36" s="122">
        <f t="shared" si="10"/>
        <v>0</v>
      </c>
      <c r="AP36" s="107">
        <f t="shared" si="11"/>
        <v>0</v>
      </c>
      <c r="AQ36" s="107">
        <f t="shared" si="12"/>
        <v>0</v>
      </c>
      <c r="AR36" s="123">
        <f t="shared" si="13"/>
        <v>0</v>
      </c>
      <c r="AS36" s="124">
        <f t="shared" si="14"/>
        <v>0</v>
      </c>
      <c r="AT36" s="124">
        <f t="shared" si="15"/>
        <v>0</v>
      </c>
      <c r="AU36" s="124">
        <f t="shared" si="16"/>
        <v>0</v>
      </c>
      <c r="AV36" s="117" t="s">
        <v>2</v>
      </c>
      <c r="AW36" s="129">
        <f>IF(($R$41=AV36)*AND($R$42&lt;&gt;""),VLOOKUP($R$42,'Barèmes police'!$AR$40:$AS$66,2),0)</f>
        <v>0</v>
      </c>
      <c r="AX36" s="129"/>
      <c r="AY36" s="129"/>
      <c r="AZ36" s="154"/>
      <c r="BA36" s="154"/>
      <c r="BB36" s="154"/>
      <c r="BC36" s="154"/>
      <c r="BD36" s="154"/>
      <c r="BE36" s="154"/>
      <c r="BF36" s="154"/>
    </row>
    <row r="37" spans="1:58" ht="12.75" customHeight="1" x14ac:dyDescent="0.2">
      <c r="A37" s="34"/>
      <c r="B37" s="24" t="str">
        <f t="shared" si="0"/>
        <v>Ve</v>
      </c>
      <c r="C37" s="25">
        <f t="shared" si="22"/>
        <v>45534</v>
      </c>
      <c r="D37" s="51"/>
      <c r="E37" s="116"/>
      <c r="F37" s="52"/>
      <c r="G37" s="53"/>
      <c r="H37" s="54"/>
      <c r="I37" s="55"/>
      <c r="J37" s="54"/>
      <c r="K37" s="55"/>
      <c r="L37" s="40">
        <f t="shared" si="1"/>
        <v>0</v>
      </c>
      <c r="M37" s="41">
        <f t="shared" si="23"/>
        <v>0.31666666666666665</v>
      </c>
      <c r="N37" s="42">
        <f>IF(AND(D37&lt;&gt;"Jour libre 4/5",B37&lt;&gt;"Sa",B37&lt;&gt;"Di"),SUM(N36,Configuration!$H$41),SUM(N36))</f>
        <v>14.249999999999991</v>
      </c>
      <c r="O37" s="49" t="str">
        <f t="shared" si="24"/>
        <v>-</v>
      </c>
      <c r="P37" s="143">
        <f t="shared" si="17"/>
        <v>13.933333333333325</v>
      </c>
      <c r="Q37" s="167">
        <f t="shared" si="18"/>
        <v>0</v>
      </c>
      <c r="R37" s="168">
        <f t="shared" si="18"/>
        <v>0</v>
      </c>
      <c r="S37" s="168">
        <f t="shared" si="18"/>
        <v>0</v>
      </c>
      <c r="T37" s="169">
        <f t="shared" si="18"/>
        <v>0</v>
      </c>
      <c r="U37" s="97">
        <f t="shared" si="2"/>
        <v>0</v>
      </c>
      <c r="V37" s="97">
        <f t="shared" si="3"/>
        <v>0</v>
      </c>
      <c r="W37" s="97">
        <f t="shared" si="4"/>
        <v>0</v>
      </c>
      <c r="X37" s="97">
        <f t="shared" si="5"/>
        <v>0</v>
      </c>
      <c r="Y37" s="209"/>
      <c r="Z37" s="210"/>
      <c r="AA37" s="210"/>
      <c r="AB37" s="128">
        <f>IF(AND(D37="Jour férié semaine",((G37-F37)+(I37-H37)+(K37-J37)=0)),VLOOKUP(D37,Systeemgegevens!$J:$K,2,FALSE),0)</f>
        <v>0</v>
      </c>
      <c r="AC37" s="43">
        <f>IF(AND(NOT(ISERROR(FIND("Congé",D37))),ISERROR(FIND("1/2",D37)),ISERROR(FIND("Synd",D37)),ISERROR(FIND("synd",D37)),(G37-F37+I37-H37+K37-J37)=0),VLOOKUP(D37,Systeemgegevens!$J:$K,2,FALSE),IF(AND(NOT(ISERROR(FIND("1/2 Congé + ",D37))),(G37-F37+I37-H37+K37-J37)=0),VLOOKUP(D37,Systeemgegevens!$J:$K,2,FALSE)/2,IF(AND(NOT(ISERROR(FIND("1/2 Congé",D37))),ISERROR(FIND(" + ",D37)),ISERROR(FIND("1/2 Congé Synd.",D37))),VLOOKUP(D37,Systeemgegevens!$J:$K,2,FALSE),0)))</f>
        <v>0</v>
      </c>
      <c r="AD37" s="43">
        <f>IF(AND(OR(D37="1/2 Congé Synd.",D37="Congé Synd."),((G37-F37)+(I37-H37)+(K37-J37)=0)),VLOOKUP(D37,Systeemgegevens!$J:$K,2,FALSE),IF(AND(D37="1/2 Congé + 1/2 synd.",((G37-F37)+(I37-H37)+(K37-J37)=0)),AC37,0))</f>
        <v>0</v>
      </c>
      <c r="AE37" s="43">
        <f>IF(AND(D37="Jour de pont",((G37-F37)+(I37-H37)+(K37-J37)=0)),VLOOKUP(D37,Systeemgegevens!$J:$K,2,FALSE),0)</f>
        <v>0</v>
      </c>
      <c r="AF37" s="43">
        <f>IF(AND(D37="Jour libre 4/5",AND((G37-F37)+(I37-H37)+(K37-J37)=0)),VLOOKUP(D37,Systeemgegevens!$J:$K,2,FALSE),0)</f>
        <v>0</v>
      </c>
      <c r="AG37" s="118">
        <f>IF(AND(D37&lt;&gt;"",SUM(AB37:AF37)=0,D37&lt;&gt;$AB$4,D37&lt;&gt;$AC$4,D37&lt;&gt;$AE$4,D37&lt;&gt;$AF$4),VLOOKUP(D37,Systeemgegevens!$J:$K,2,FALSE),0)</f>
        <v>0</v>
      </c>
      <c r="AH37" s="119">
        <f t="shared" si="6"/>
        <v>0</v>
      </c>
      <c r="AI37" s="101">
        <f t="shared" si="7"/>
        <v>0</v>
      </c>
      <c r="AJ37" s="118">
        <f t="shared" si="19"/>
        <v>0</v>
      </c>
      <c r="AK37" s="119">
        <f t="shared" si="8"/>
        <v>0</v>
      </c>
      <c r="AL37" s="101">
        <f t="shared" si="9"/>
        <v>0</v>
      </c>
      <c r="AM37" s="43">
        <f t="shared" si="20"/>
        <v>0</v>
      </c>
      <c r="AN37" s="118">
        <f t="shared" si="21"/>
        <v>0</v>
      </c>
      <c r="AO37" s="122">
        <f t="shared" si="10"/>
        <v>0</v>
      </c>
      <c r="AP37" s="107">
        <f t="shared" si="11"/>
        <v>0</v>
      </c>
      <c r="AQ37" s="107">
        <f t="shared" si="12"/>
        <v>0</v>
      </c>
      <c r="AR37" s="123">
        <f t="shared" si="13"/>
        <v>0</v>
      </c>
      <c r="AS37" s="124">
        <f t="shared" si="14"/>
        <v>0</v>
      </c>
      <c r="AT37" s="124">
        <f t="shared" si="15"/>
        <v>0</v>
      </c>
      <c r="AU37" s="124">
        <f t="shared" si="16"/>
        <v>0</v>
      </c>
      <c r="AV37" s="117" t="s">
        <v>269</v>
      </c>
      <c r="AW37" s="129">
        <f>IF(($R$41=AV37)*AND($R$42&lt;&gt;""),VLOOKUP($R$42,'Barèmes police'!$AU$40:$AV$66,2),0)</f>
        <v>0</v>
      </c>
      <c r="AX37" s="129"/>
      <c r="AY37" s="129"/>
      <c r="AZ37" s="154"/>
      <c r="BA37" s="154"/>
      <c r="BB37" s="154"/>
      <c r="BC37" s="154"/>
      <c r="BD37" s="154"/>
      <c r="BE37" s="154"/>
      <c r="BF37" s="154"/>
    </row>
    <row r="38" spans="1:58" ht="12.75" customHeight="1" x14ac:dyDescent="0.2">
      <c r="A38" s="34"/>
      <c r="B38" s="36" t="str">
        <f t="shared" si="0"/>
        <v>Sa</v>
      </c>
      <c r="C38" s="25">
        <f t="shared" si="22"/>
        <v>45535</v>
      </c>
      <c r="D38" s="56"/>
      <c r="E38" s="56"/>
      <c r="F38" s="149"/>
      <c r="G38" s="150"/>
      <c r="H38" s="57"/>
      <c r="I38" s="58"/>
      <c r="J38" s="57"/>
      <c r="K38" s="58"/>
      <c r="L38" s="44">
        <f t="shared" si="1"/>
        <v>0</v>
      </c>
      <c r="M38" s="46">
        <f>M37+L38</f>
        <v>0.31666666666666665</v>
      </c>
      <c r="N38" s="47">
        <f>IF(AND(D38&lt;&gt;"Jour libre 4/5",B38&lt;&gt;"Sa",B38&lt;&gt;"Di"),SUM(N37,Configuration!$H$41),SUM(N37))</f>
        <v>14.249999999999991</v>
      </c>
      <c r="O38" s="50" t="str">
        <f t="shared" si="24"/>
        <v>-</v>
      </c>
      <c r="P38" s="142">
        <f t="shared" si="17"/>
        <v>13.933333333333325</v>
      </c>
      <c r="Q38" s="170">
        <f t="shared" si="18"/>
        <v>0</v>
      </c>
      <c r="R38" s="171">
        <f t="shared" si="18"/>
        <v>0</v>
      </c>
      <c r="S38" s="171">
        <f t="shared" si="18"/>
        <v>0</v>
      </c>
      <c r="T38" s="172">
        <f t="shared" si="18"/>
        <v>0</v>
      </c>
      <c r="U38" s="98">
        <f t="shared" si="2"/>
        <v>0</v>
      </c>
      <c r="V38" s="98">
        <f t="shared" si="3"/>
        <v>0</v>
      </c>
      <c r="W38" s="98">
        <f t="shared" si="4"/>
        <v>0</v>
      </c>
      <c r="X38" s="98">
        <f t="shared" si="5"/>
        <v>0</v>
      </c>
      <c r="Y38" s="211"/>
      <c r="Z38" s="212"/>
      <c r="AA38" s="212"/>
      <c r="AB38" s="128">
        <f>IF(AND(D38="Jour férié semaine",((G38-F38)+(I38-H38)+(K38-J38)=0)),VLOOKUP(D38,Systeemgegevens!$J:$K,2,FALSE),0)</f>
        <v>0</v>
      </c>
      <c r="AC38" s="43">
        <f>IF(AND(NOT(ISERROR(FIND("Congé",D38))),ISERROR(FIND("1/2",D38)),ISERROR(FIND("Synd",D38)),ISERROR(FIND("synd",D38)),(G38-F38+I38-H38+K38-J38)=0),VLOOKUP(D38,Systeemgegevens!$J:$K,2,FALSE),IF(AND(NOT(ISERROR(FIND("1/2 Congé + ",D38))),(G38-F38+I38-H38+K38-J38)=0),VLOOKUP(D38,Systeemgegevens!$J:$K,2,FALSE)/2,IF(AND(NOT(ISERROR(FIND("1/2 Congé",D38))),ISERROR(FIND(" + ",D38)),ISERROR(FIND("1/2 Congé Synd.",D38))),VLOOKUP(D38,Systeemgegevens!$J:$K,2,FALSE),0)))</f>
        <v>0</v>
      </c>
      <c r="AD38" s="43">
        <f>IF(AND(OR(D38="1/2 Congé Synd.",D38="Congé Synd."),((G38-F38)+(I38-H38)+(K38-J38)=0)),VLOOKUP(D38,Systeemgegevens!$J:$K,2,FALSE),IF(AND(D38="1/2 Congé + 1/2 synd.",((G38-F38)+(I38-H38)+(K38-J38)=0)),AC38,0))</f>
        <v>0</v>
      </c>
      <c r="AE38" s="43">
        <f>IF(AND(D38="Jour de pont",((G38-F38)+(I38-H38)+(K38-J38)=0)),VLOOKUP(D38,Systeemgegevens!$J:$K,2,FALSE),0)</f>
        <v>0</v>
      </c>
      <c r="AF38" s="43">
        <f>IF(AND(D38="Jour libre 4/5",AND((G38-F38)+(I38-H38)+(K38-J38)=0)),VLOOKUP(D38,Systeemgegevens!$J:$K,2,FALSE),0)</f>
        <v>0</v>
      </c>
      <c r="AG38" s="118">
        <f>IF(AND(D38&lt;&gt;"",SUM(AB38:AF38)=0,D38&lt;&gt;$AB$4,D38&lt;&gt;$AC$4,D38&lt;&gt;$AE$4,D38&lt;&gt;$AF$4),VLOOKUP(D38,Systeemgegevens!$J:$K,2,FALSE),0)</f>
        <v>0</v>
      </c>
      <c r="AH38" s="119">
        <f t="shared" si="6"/>
        <v>0</v>
      </c>
      <c r="AI38" s="101">
        <f t="shared" si="7"/>
        <v>0</v>
      </c>
      <c r="AJ38" s="118">
        <f t="shared" si="19"/>
        <v>0</v>
      </c>
      <c r="AK38" s="119">
        <f t="shared" si="8"/>
        <v>0</v>
      </c>
      <c r="AL38" s="101">
        <f t="shared" si="9"/>
        <v>0</v>
      </c>
      <c r="AM38" s="43">
        <f t="shared" si="20"/>
        <v>0</v>
      </c>
      <c r="AN38" s="118">
        <f t="shared" si="21"/>
        <v>0</v>
      </c>
      <c r="AO38" s="122">
        <f t="shared" si="10"/>
        <v>0</v>
      </c>
      <c r="AP38" s="107">
        <f t="shared" si="11"/>
        <v>0</v>
      </c>
      <c r="AQ38" s="107">
        <f t="shared" si="12"/>
        <v>0</v>
      </c>
      <c r="AR38" s="123">
        <f t="shared" si="13"/>
        <v>0</v>
      </c>
      <c r="AS38" s="124">
        <f t="shared" si="14"/>
        <v>0</v>
      </c>
      <c r="AT38" s="124">
        <f t="shared" si="15"/>
        <v>0</v>
      </c>
      <c r="AU38" s="124">
        <f t="shared" si="16"/>
        <v>0</v>
      </c>
      <c r="AX38" s="129"/>
      <c r="AY38" s="129"/>
      <c r="AZ38" s="154"/>
      <c r="BA38" s="154"/>
      <c r="BB38" s="154"/>
      <c r="BC38" s="154"/>
      <c r="BD38" s="154"/>
      <c r="BE38" s="154"/>
      <c r="BF38" s="154"/>
    </row>
    <row r="39" spans="1:58" ht="12.75" customHeight="1" x14ac:dyDescent="0.2">
      <c r="C39" s="281"/>
      <c r="AX39" s="129"/>
      <c r="AY39" s="129"/>
    </row>
    <row r="40" spans="1:58" ht="12.75" customHeight="1" x14ac:dyDescent="0.2">
      <c r="J40" s="215"/>
      <c r="K40" s="215"/>
      <c r="L40" s="215"/>
      <c r="M40" s="216"/>
      <c r="N40" s="215"/>
      <c r="O40" s="217"/>
      <c r="P40" s="215"/>
      <c r="Q40" s="215"/>
      <c r="R40" s="215"/>
      <c r="S40" s="215"/>
      <c r="T40" s="215"/>
      <c r="U40" s="217"/>
      <c r="V40" s="217"/>
      <c r="W40" s="416" t="s">
        <v>212</v>
      </c>
      <c r="X40" s="417"/>
      <c r="Y40" s="23"/>
      <c r="Z40" s="218"/>
      <c r="AA40" s="218"/>
      <c r="AV40" s="117" t="s">
        <v>8</v>
      </c>
      <c r="AW40" s="129">
        <f>IF(($R$41=AV40)*AND($R$42&lt;&gt;""),VLOOKUP($R$42,'Barèmes police'!$Z$40:$AA$66,2),0)</f>
        <v>0</v>
      </c>
      <c r="AX40" s="129"/>
      <c r="AY40" s="129"/>
    </row>
    <row r="41" spans="1:58" ht="12.75" customHeight="1" x14ac:dyDescent="0.2">
      <c r="B41" s="475" t="s">
        <v>201</v>
      </c>
      <c r="C41" s="414"/>
      <c r="D41" s="398"/>
      <c r="E41" s="397" t="s">
        <v>202</v>
      </c>
      <c r="F41" s="398"/>
      <c r="G41" s="414" t="s">
        <v>243</v>
      </c>
      <c r="H41" s="415"/>
      <c r="J41" s="407" t="s">
        <v>238</v>
      </c>
      <c r="K41" s="408"/>
      <c r="L41" s="408"/>
      <c r="M41" s="408"/>
      <c r="N41" s="408"/>
      <c r="O41" s="219"/>
      <c r="P41" s="220"/>
      <c r="Q41" s="220"/>
      <c r="R41" s="405" t="s">
        <v>36</v>
      </c>
      <c r="S41" s="406"/>
      <c r="T41" s="402" t="s">
        <v>213</v>
      </c>
      <c r="U41" s="403"/>
      <c r="V41" s="404"/>
      <c r="W41" s="221">
        <v>1</v>
      </c>
      <c r="X41" s="222" t="s">
        <v>54</v>
      </c>
      <c r="Y41" s="23"/>
      <c r="Z41" s="383" t="s">
        <v>75</v>
      </c>
      <c r="AA41" s="384"/>
      <c r="AV41" s="117" t="s">
        <v>5</v>
      </c>
      <c r="AW41" s="129">
        <f>IF(($R$41=AV41)*AND($R$42&lt;&gt;""),VLOOKUP($R$42,'Barèmes police'!$AI$40:$AJ$66,2),0)</f>
        <v>0</v>
      </c>
      <c r="AX41" s="129"/>
      <c r="AY41" s="129"/>
    </row>
    <row r="42" spans="1:58" ht="12.75" customHeight="1" x14ac:dyDescent="0.2">
      <c r="B42" s="476" t="s">
        <v>205</v>
      </c>
      <c r="C42" s="477"/>
      <c r="D42" s="478"/>
      <c r="E42" s="412">
        <f>Jul!E46</f>
        <v>34</v>
      </c>
      <c r="F42" s="413"/>
      <c r="G42" s="399">
        <f>Jul!G46</f>
        <v>10.766666666666666</v>
      </c>
      <c r="H42" s="399"/>
      <c r="J42" s="223"/>
      <c r="K42" s="224"/>
      <c r="L42" s="224"/>
      <c r="M42" s="224"/>
      <c r="N42" s="224"/>
      <c r="O42" s="225"/>
      <c r="P42" s="226"/>
      <c r="Q42" s="226"/>
      <c r="R42" s="464">
        <v>0</v>
      </c>
      <c r="S42" s="465"/>
      <c r="T42" s="466">
        <f>SUM(AW8:AW201)</f>
        <v>14703.88</v>
      </c>
      <c r="U42" s="467"/>
      <c r="V42" s="468"/>
      <c r="W42" s="213">
        <v>13409.11</v>
      </c>
      <c r="X42" s="214">
        <v>12735.61</v>
      </c>
      <c r="Y42" s="23"/>
      <c r="Z42" s="457">
        <v>2.0398999999999998</v>
      </c>
      <c r="AA42" s="458"/>
      <c r="AV42" s="117" t="s">
        <v>10</v>
      </c>
      <c r="AW42" s="129">
        <f>IF(($R$41=AV42)*AND($R$42&lt;&gt;""),VLOOKUP($R$42,'Barèmes police'!$N$40:$O$66,2),0)</f>
        <v>0</v>
      </c>
      <c r="AX42" s="129"/>
      <c r="AY42" s="129"/>
    </row>
    <row r="43" spans="1:58" ht="12.75" customHeight="1" x14ac:dyDescent="0.2">
      <c r="B43" s="476" t="s">
        <v>203</v>
      </c>
      <c r="C43" s="477"/>
      <c r="D43" s="478"/>
      <c r="E43" s="459">
        <v>0</v>
      </c>
      <c r="F43" s="460"/>
      <c r="G43" s="463">
        <f>E43*Configuration!$H$41</f>
        <v>0</v>
      </c>
      <c r="H43" s="463"/>
      <c r="J43" s="227" t="s">
        <v>215</v>
      </c>
      <c r="K43" s="228"/>
      <c r="L43" s="229"/>
      <c r="M43" s="230">
        <f>IF(MINUTE(SUM(U8:U39))&gt;=30,SUM(U8:U39)+(TIME(1,0,0))-TIME(0,MINUTE(SUM(U8:U39)),0),SUM(U8:U39)-TIME(0,MINUTE(SUM(U8:U39)),0))</f>
        <v>0</v>
      </c>
      <c r="N43" s="219" t="s">
        <v>190</v>
      </c>
      <c r="O43" s="231"/>
      <c r="P43" s="220"/>
      <c r="Q43" s="220"/>
      <c r="R43" s="232"/>
      <c r="S43" s="354">
        <f>IF($R$2="Oui",(M43*AK44*24),0)</f>
        <v>0</v>
      </c>
      <c r="T43" s="355"/>
      <c r="U43" s="355"/>
      <c r="V43" s="233" t="s">
        <v>55</v>
      </c>
      <c r="W43" s="234">
        <f>IF($R$3="Oui",M43*AK49*24,0)</f>
        <v>0</v>
      </c>
      <c r="X43" s="235" t="s">
        <v>55</v>
      </c>
      <c r="Y43" s="23"/>
      <c r="Z43" s="218"/>
      <c r="AA43" s="218"/>
      <c r="AB43" s="352" t="s">
        <v>66</v>
      </c>
      <c r="AC43" s="353"/>
      <c r="AD43" s="353"/>
      <c r="AE43" s="130">
        <f>T42*Z42</f>
        <v>29994.444811999994</v>
      </c>
      <c r="AG43" s="352" t="s">
        <v>64</v>
      </c>
      <c r="AH43" s="353"/>
      <c r="AI43" s="353"/>
      <c r="AJ43" s="353"/>
      <c r="AK43" s="130">
        <f>T42*Z42/1850</f>
        <v>16.213213411891889</v>
      </c>
      <c r="AM43" s="389" t="s">
        <v>163</v>
      </c>
      <c r="AN43" s="390"/>
      <c r="AO43" s="390"/>
      <c r="AP43" s="390"/>
      <c r="AQ43" s="390"/>
      <c r="AR43" s="127"/>
      <c r="AV43" s="18" t="s">
        <v>4</v>
      </c>
      <c r="AW43" s="129">
        <f>IF(($R$41=AV43)*AND($R$42&lt;&gt;""),VLOOKUP($R$42,'Barèmes police'!$AL$40:$AM$66,2),0)</f>
        <v>0</v>
      </c>
      <c r="AX43" s="129"/>
      <c r="AY43" s="129"/>
    </row>
    <row r="44" spans="1:58" ht="12.75" customHeight="1" x14ac:dyDescent="0.2">
      <c r="B44" s="476" t="s">
        <v>260</v>
      </c>
      <c r="C44" s="477"/>
      <c r="D44" s="478"/>
      <c r="E44" s="412">
        <f>SUM(AU8:AU39)</f>
        <v>0</v>
      </c>
      <c r="F44" s="413"/>
      <c r="G44" s="399">
        <f>SUM(AU8:AU39)*Configuration!H41</f>
        <v>0</v>
      </c>
      <c r="H44" s="399"/>
      <c r="J44" s="236" t="s">
        <v>217</v>
      </c>
      <c r="K44" s="237"/>
      <c r="L44" s="238"/>
      <c r="M44" s="239">
        <f>IF(MINUTE(SUM(V8:V39))&gt;=30,SUM(V8:V39)+(TIME(1,0,0))-TIME(0,MINUTE(SUM(V8:V39)),0),SUM(V8:V39)-TIME(0,MINUTE(SUM(V8:V39)),0))</f>
        <v>0</v>
      </c>
      <c r="N44" s="225" t="s">
        <v>190</v>
      </c>
      <c r="O44" s="240"/>
      <c r="P44" s="226"/>
      <c r="Q44" s="226"/>
      <c r="R44" s="232"/>
      <c r="S44" s="354">
        <f>IF($R$2="Oui",M44*AK45*24,0)</f>
        <v>0</v>
      </c>
      <c r="T44" s="355"/>
      <c r="U44" s="355"/>
      <c r="V44" s="233" t="s">
        <v>55</v>
      </c>
      <c r="W44" s="23"/>
      <c r="X44" s="241"/>
      <c r="Y44" s="23"/>
      <c r="Z44" s="377" t="s">
        <v>211</v>
      </c>
      <c r="AA44" s="378"/>
      <c r="AB44" s="358" t="s">
        <v>67</v>
      </c>
      <c r="AC44" s="359"/>
      <c r="AD44" s="359"/>
      <c r="AE44" s="121">
        <f>AE43*0.075</f>
        <v>2249.5833608999997</v>
      </c>
      <c r="AG44" s="358" t="s">
        <v>65</v>
      </c>
      <c r="AH44" s="359"/>
      <c r="AI44" s="359"/>
      <c r="AJ44" s="359"/>
      <c r="AK44" s="136">
        <f>(AK43*0.9645)*AE49</f>
        <v>9.3231635529859105</v>
      </c>
      <c r="AM44" s="391" t="str">
        <f>IF(Configuration!$H$30="Dagen","Aantal dagen beschikbaar:","Aantal uren beschikbaar:")</f>
        <v>Aantal uren beschikbaar:</v>
      </c>
      <c r="AN44" s="392"/>
      <c r="AO44" s="392"/>
      <c r="AP44" s="392"/>
      <c r="AQ44" s="393">
        <f>IF(Configuration!H30="Dagen",Configuration!H45,Configuration!H45)</f>
        <v>99999</v>
      </c>
      <c r="AR44" s="394"/>
      <c r="AV44" s="18" t="s">
        <v>9</v>
      </c>
      <c r="AW44" s="129">
        <f>IF(($R$41=AV44)*AND($R$42&lt;&gt;""),VLOOKUP($R$42,'Barèmes police'!$Q$40:$R$66,2),0)</f>
        <v>0</v>
      </c>
      <c r="AX44" s="129"/>
      <c r="AY44" s="129"/>
    </row>
    <row r="45" spans="1:58" ht="12.75" customHeight="1" x14ac:dyDescent="0.2">
      <c r="B45" s="476" t="s">
        <v>204</v>
      </c>
      <c r="C45" s="477"/>
      <c r="D45" s="478"/>
      <c r="E45" s="412">
        <f>SUM(AC8:AC39)/Configuration!H41</f>
        <v>0</v>
      </c>
      <c r="F45" s="413"/>
      <c r="G45" s="399">
        <f>SUM(AC8:AC39)</f>
        <v>0</v>
      </c>
      <c r="H45" s="399"/>
      <c r="J45" s="236" t="s">
        <v>216</v>
      </c>
      <c r="K45" s="237"/>
      <c r="L45" s="238"/>
      <c r="M45" s="239">
        <f>IF(MINUTE(SUM(W8:W39))&gt;=30,SUM(W8:W39)+(TIME(1,0,0))-TIME(0,MINUTE(SUM(W8:W39)),0),SUM(W8:W39)-TIME(0,MINUTE(SUM(W8:W39)),0))</f>
        <v>0</v>
      </c>
      <c r="N45" s="237" t="s">
        <v>190</v>
      </c>
      <c r="O45" s="225"/>
      <c r="P45" s="225"/>
      <c r="Q45" s="225"/>
      <c r="R45" s="233"/>
      <c r="S45" s="354">
        <f>IF($R$2="Oui",M45*AK46*24,0)</f>
        <v>0</v>
      </c>
      <c r="T45" s="355"/>
      <c r="U45" s="355"/>
      <c r="V45" s="233" t="s">
        <v>55</v>
      </c>
      <c r="W45" s="234"/>
      <c r="X45" s="235"/>
      <c r="Y45" s="23"/>
      <c r="Z45" s="379"/>
      <c r="AA45" s="380"/>
      <c r="AB45" s="358" t="s">
        <v>68</v>
      </c>
      <c r="AC45" s="359"/>
      <c r="AD45" s="359"/>
      <c r="AE45" s="121">
        <f>AE43*0.0355</f>
        <v>1064.8027908259996</v>
      </c>
      <c r="AG45" s="358" t="s">
        <v>77</v>
      </c>
      <c r="AH45" s="359"/>
      <c r="AI45" s="359"/>
      <c r="AJ45" s="359"/>
      <c r="AK45" s="136">
        <f>AK44*0.2</f>
        <v>1.8646327105971823</v>
      </c>
      <c r="AM45" s="391" t="str">
        <f>IF(Configuration!$H$30="Dagen","Opgenomen Congé Synd.dagen:","Opgenomen Congé Synd.uren:")</f>
        <v>Opgenomen Congé Synd.uren:</v>
      </c>
      <c r="AN45" s="392"/>
      <c r="AO45" s="392"/>
      <c r="AP45" s="392"/>
      <c r="AQ45" s="469">
        <f>IF(Configuration!$H$30="Dagen",SUM(AD8:AD39)/Configuration!H41,SUM(AD8:AD39))</f>
        <v>0</v>
      </c>
      <c r="AR45" s="470"/>
      <c r="AV45" s="18" t="s">
        <v>3</v>
      </c>
      <c r="AW45" s="129">
        <f>IF(($R$41=AV45)*AND($R$42&lt;&gt;""),VLOOKUP($R$42,'Barèmes police'!$AO$40:$AP$66,2),0)</f>
        <v>0</v>
      </c>
    </row>
    <row r="46" spans="1:58" ht="12.75" customHeight="1" x14ac:dyDescent="0.2">
      <c r="B46" s="409" t="s">
        <v>254</v>
      </c>
      <c r="C46" s="410"/>
      <c r="D46" s="411"/>
      <c r="E46" s="461">
        <f>E42+E43+E44-E45</f>
        <v>34</v>
      </c>
      <c r="F46" s="462"/>
      <c r="G46" s="400">
        <f>G42+G43+G44-G45</f>
        <v>10.766666666666666</v>
      </c>
      <c r="H46" s="401"/>
      <c r="J46" s="236" t="s">
        <v>218</v>
      </c>
      <c r="K46" s="237"/>
      <c r="L46" s="238"/>
      <c r="M46" s="239">
        <f>IF(MINUTE(SUM(X8:X39))&gt;=30,SUM(X8:X39)+(TIME(1,0,0))-TIME(0,MINUTE(SUM(X8:X39)),0),SUM(X8:X39)-TIME(0,MINUTE(SUM(X8:X39)),0))</f>
        <v>0</v>
      </c>
      <c r="N46" s="237" t="s">
        <v>190</v>
      </c>
      <c r="O46" s="225"/>
      <c r="P46" s="225"/>
      <c r="Q46" s="225"/>
      <c r="R46" s="233"/>
      <c r="S46" s="242"/>
      <c r="T46" s="242"/>
      <c r="U46" s="242"/>
      <c r="V46" s="243"/>
      <c r="W46" s="234">
        <f>IF($R$3="Oui",M46*AK52*24,0)</f>
        <v>0</v>
      </c>
      <c r="X46" s="235" t="s">
        <v>55</v>
      </c>
      <c r="Y46" s="23"/>
      <c r="Z46" s="381">
        <f>AE48</f>
        <v>0.40380000000000005</v>
      </c>
      <c r="AA46" s="382"/>
      <c r="AB46" s="348" t="s">
        <v>69</v>
      </c>
      <c r="AC46" s="349"/>
      <c r="AD46" s="349"/>
      <c r="AE46" s="132">
        <f>AE43-AE44-AE45</f>
        <v>26680.058660273993</v>
      </c>
      <c r="AG46" s="348" t="s">
        <v>78</v>
      </c>
      <c r="AH46" s="349"/>
      <c r="AI46" s="349"/>
      <c r="AJ46" s="349"/>
      <c r="AK46" s="132">
        <f>AK44*0.35</f>
        <v>3.2631072435450683</v>
      </c>
      <c r="AM46" s="375" t="str">
        <f>IF(Configuration!$H$30="Dagen","Resterend aantal dagen:","Resterend aantal uren:")</f>
        <v>Resterend aantal uren:</v>
      </c>
      <c r="AN46" s="376"/>
      <c r="AO46" s="376"/>
      <c r="AP46" s="376"/>
      <c r="AQ46" s="366">
        <f>AQ44-AQ45</f>
        <v>99999</v>
      </c>
      <c r="AR46" s="367"/>
      <c r="AV46" s="18" t="s">
        <v>1</v>
      </c>
      <c r="AW46" s="129">
        <f>IF(($R$41=AV46)*AND($R$42&lt;&gt;""),VLOOKUP($R$42,'Barèmes police'!$T$40:$U$69,2),0)</f>
        <v>0</v>
      </c>
    </row>
    <row r="47" spans="1:58" ht="12.75" customHeight="1" x14ac:dyDescent="0.2">
      <c r="B47" s="23"/>
      <c r="C47" s="23"/>
      <c r="D47" s="23"/>
      <c r="E47" s="23"/>
      <c r="F47" s="23"/>
      <c r="G47" s="23"/>
      <c r="J47" s="236" t="s">
        <v>219</v>
      </c>
      <c r="K47" s="237"/>
      <c r="L47" s="238"/>
      <c r="M47" s="244">
        <f>COUNTIF($Q$8:$Q$38,"1")</f>
        <v>0</v>
      </c>
      <c r="N47" s="225"/>
      <c r="O47" s="362" t="s">
        <v>223</v>
      </c>
      <c r="P47" s="363"/>
      <c r="Q47" s="363"/>
      <c r="R47" s="245">
        <f>COUNTIF($Q$8:$Q$38,"2")</f>
        <v>0</v>
      </c>
      <c r="S47" s="354">
        <f>IF($R$2="Oui",(M47*AE52*Z42+(R47*Z42*2.48)),0)</f>
        <v>0</v>
      </c>
      <c r="T47" s="355"/>
      <c r="U47" s="355"/>
      <c r="V47" s="233" t="s">
        <v>55</v>
      </c>
      <c r="W47" s="234">
        <f>IF($R$3="Oui",(M47*AE52*Z42+(R47*AE52*6.2)),0)</f>
        <v>0</v>
      </c>
      <c r="X47" s="235" t="s">
        <v>55</v>
      </c>
      <c r="Y47" s="23"/>
      <c r="Z47" s="218"/>
      <c r="AA47" s="218"/>
      <c r="AV47" s="18" t="s">
        <v>0</v>
      </c>
      <c r="AW47" s="129">
        <f>IF(($R$41=AV47)*AND($R$42&lt;&gt;""),VLOOKUP($R$42,'Barèmes police'!$W$40:$X$69,2),0)</f>
        <v>0</v>
      </c>
    </row>
    <row r="48" spans="1:58" ht="12.75" customHeight="1" x14ac:dyDescent="0.2">
      <c r="B48" s="368" t="s">
        <v>206</v>
      </c>
      <c r="C48" s="369"/>
      <c r="D48" s="369"/>
      <c r="E48" s="369"/>
      <c r="F48" s="370" t="s">
        <v>179</v>
      </c>
      <c r="G48" s="371"/>
      <c r="J48" s="236" t="s">
        <v>220</v>
      </c>
      <c r="K48" s="237"/>
      <c r="L48" s="238"/>
      <c r="M48" s="244">
        <f>COUNTIF($R$8:$R$38,"1")</f>
        <v>0</v>
      </c>
      <c r="N48" s="225"/>
      <c r="O48" s="362" t="s">
        <v>224</v>
      </c>
      <c r="P48" s="363"/>
      <c r="Q48" s="363"/>
      <c r="R48" s="245">
        <f>COUNTIF($R$8:$R$38,"2")</f>
        <v>0</v>
      </c>
      <c r="S48" s="354">
        <f>IF($R$2="Oui",(M48*AE53*Z42+(R48*Z42*6.2)),0)</f>
        <v>0</v>
      </c>
      <c r="T48" s="355"/>
      <c r="U48" s="355"/>
      <c r="V48" s="233" t="s">
        <v>55</v>
      </c>
      <c r="W48" s="234">
        <f>IF($R$3="Oui",(M48*AE53*Z42+(R48*AE53*6.2)),0)</f>
        <v>0</v>
      </c>
      <c r="X48" s="235" t="s">
        <v>55</v>
      </c>
      <c r="Y48" s="23"/>
      <c r="Z48" s="383" t="s">
        <v>258</v>
      </c>
      <c r="AA48" s="384"/>
      <c r="AB48" s="352" t="s">
        <v>70</v>
      </c>
      <c r="AC48" s="353"/>
      <c r="AD48" s="353"/>
      <c r="AE48" s="134">
        <f>VLOOKUP(AE46,Systeemgegevens!C3:E14,3)/100</f>
        <v>0.40380000000000005</v>
      </c>
      <c r="AG48" s="352" t="s">
        <v>72</v>
      </c>
      <c r="AH48" s="353"/>
      <c r="AI48" s="353"/>
      <c r="AJ48" s="353"/>
      <c r="AK48" s="133">
        <f>X42*1.2434/1850</f>
        <v>8.5597067427027032</v>
      </c>
      <c r="AV48" s="18" t="s">
        <v>61</v>
      </c>
      <c r="AW48" s="129">
        <f>IF(($R$41=AV48)*AND($R$42&lt;&gt;""),VLOOKUP($R$42,'Barèmes police'!$BM$4:$BN$39,2),0)</f>
        <v>0</v>
      </c>
    </row>
    <row r="49" spans="2:49" ht="12.75" customHeight="1" x14ac:dyDescent="0.2">
      <c r="B49" s="17"/>
      <c r="F49" s="17"/>
      <c r="G49" s="17"/>
      <c r="J49" s="236" t="s">
        <v>221</v>
      </c>
      <c r="K49" s="237"/>
      <c r="L49" s="238"/>
      <c r="M49" s="244">
        <f>COUNTIF($S$8:$S$38, "1")</f>
        <v>0</v>
      </c>
      <c r="N49" s="225"/>
      <c r="O49" s="362" t="s">
        <v>225</v>
      </c>
      <c r="P49" s="363"/>
      <c r="Q49" s="363"/>
      <c r="R49" s="245">
        <f>COUNTIF($S$8:$S$38, "2")</f>
        <v>0</v>
      </c>
      <c r="S49" s="354">
        <f>IF($R$2="Oui",(M49*AE54*Z42+(R49*Z42*6.2)),0)</f>
        <v>0</v>
      </c>
      <c r="T49" s="355"/>
      <c r="U49" s="355"/>
      <c r="V49" s="233" t="s">
        <v>55</v>
      </c>
      <c r="W49" s="234">
        <f>IF($R$3="Oui",(M49*AE54*Z42+(R49*AE54*6.2)),0)</f>
        <v>0</v>
      </c>
      <c r="X49" s="235" t="s">
        <v>55</v>
      </c>
      <c r="Y49" s="23"/>
      <c r="Z49" s="364">
        <v>0.23</v>
      </c>
      <c r="AA49" s="365"/>
      <c r="AB49" s="348" t="s">
        <v>71</v>
      </c>
      <c r="AC49" s="349"/>
      <c r="AD49" s="349"/>
      <c r="AE49" s="135">
        <f>1-AE48</f>
        <v>0.59619999999999995</v>
      </c>
      <c r="AG49" s="358" t="s">
        <v>73</v>
      </c>
      <c r="AH49" s="359"/>
      <c r="AI49" s="359"/>
      <c r="AJ49" s="359"/>
      <c r="AK49" s="121">
        <f>AK48*0.9645*AE49*1.45</f>
        <v>7.1370886606880939</v>
      </c>
      <c r="AV49" s="18" t="s">
        <v>263</v>
      </c>
      <c r="AW49" s="218">
        <f>IF(($R$41=AV49)*AND($R$42&lt;&gt;""),VLOOKUP($R$42,'Barèmes police'!$AX$40:$AY$70,2),0)</f>
        <v>0</v>
      </c>
    </row>
    <row r="50" spans="2:49" ht="12.75" customHeight="1" x14ac:dyDescent="0.2">
      <c r="B50" s="372" t="s">
        <v>207</v>
      </c>
      <c r="C50" s="373"/>
      <c r="D50" s="373"/>
      <c r="E50" s="373"/>
      <c r="F50" s="373"/>
      <c r="G50" s="374"/>
      <c r="J50" s="236" t="s">
        <v>222</v>
      </c>
      <c r="K50" s="237"/>
      <c r="L50" s="238"/>
      <c r="M50" s="244">
        <f>COUNTIF($T$8:$T$38,"1")</f>
        <v>0</v>
      </c>
      <c r="N50" s="225"/>
      <c r="O50" s="362" t="s">
        <v>226</v>
      </c>
      <c r="P50" s="363"/>
      <c r="Q50" s="363"/>
      <c r="R50" s="245">
        <f>COUNTIF($T$8:$T$38,"2")</f>
        <v>0</v>
      </c>
      <c r="S50" s="354">
        <f>IF($R$2="Oui",(M50*AE55*Z42+(R50*Z42*3.48)),0)</f>
        <v>0</v>
      </c>
      <c r="T50" s="355"/>
      <c r="U50" s="355"/>
      <c r="V50" s="233" t="s">
        <v>55</v>
      </c>
      <c r="W50" s="234">
        <f>IF($R$3="Oui",(M50*AE55*Z42+(R50*AE55*6.2)),0)</f>
        <v>0</v>
      </c>
      <c r="X50" s="235" t="s">
        <v>55</v>
      </c>
      <c r="Y50" s="23"/>
      <c r="Z50" s="246"/>
      <c r="AA50" s="246"/>
      <c r="AB50" s="148"/>
      <c r="AC50" s="148"/>
      <c r="AD50" s="148"/>
      <c r="AE50" s="153"/>
      <c r="AG50" s="147"/>
      <c r="AH50" s="148"/>
      <c r="AI50" s="148"/>
      <c r="AJ50" s="148"/>
      <c r="AK50" s="121"/>
      <c r="AV50" s="18" t="s">
        <v>264</v>
      </c>
      <c r="AW50" s="218">
        <f>IF(($R$41=AV50)*AND($R$42&lt;&gt;""),VLOOKUP($R$42,'Barèmes police'!$BA$40:$BB$70,2),0)</f>
        <v>0</v>
      </c>
    </row>
    <row r="51" spans="2:49" ht="12.75" customHeight="1" x14ac:dyDescent="0.2">
      <c r="B51" s="395" t="s">
        <v>208</v>
      </c>
      <c r="C51" s="396"/>
      <c r="D51" s="396"/>
      <c r="E51" s="396"/>
      <c r="F51" s="151"/>
      <c r="G51" s="152"/>
      <c r="J51" s="236" t="s">
        <v>227</v>
      </c>
      <c r="K51" s="237"/>
      <c r="L51" s="238"/>
      <c r="M51" s="239">
        <f>IF(P38-F52&gt;=1/49,IF(AND(O38="+",F48="Oui"),IF(MINUTE(P38-F52)&gt;=30,P38-F52+(TIME(1,0,0))-TIME(0,MINUTE(P38-F52),0),P38-F52-TIME(0,MINUTE(P38-F52),0)),0),0)</f>
        <v>0</v>
      </c>
      <c r="N51" s="225" t="s">
        <v>190</v>
      </c>
      <c r="O51" s="360" t="s">
        <v>253</v>
      </c>
      <c r="P51" s="360"/>
      <c r="Q51" s="360"/>
      <c r="R51" s="361"/>
      <c r="S51" s="354">
        <f>IF($R$2="Oui",M51*AK44*24,0)</f>
        <v>0</v>
      </c>
      <c r="T51" s="355"/>
      <c r="U51" s="355"/>
      <c r="V51" s="233" t="s">
        <v>55</v>
      </c>
      <c r="W51" s="234">
        <f>IF($R$3="Oui",M51*AK51*24,0)</f>
        <v>0</v>
      </c>
      <c r="X51" s="235" t="s">
        <v>55</v>
      </c>
      <c r="Y51" s="23"/>
      <c r="Z51" s="246"/>
      <c r="AA51" s="246"/>
      <c r="AG51" s="358" t="s">
        <v>74</v>
      </c>
      <c r="AH51" s="359"/>
      <c r="AI51" s="359"/>
      <c r="AJ51" s="359"/>
      <c r="AK51" s="121">
        <f>(W42*1.2434/1850)*0.9645*AE49</f>
        <v>5.1824281750374874</v>
      </c>
      <c r="AV51" s="18" t="s">
        <v>265</v>
      </c>
      <c r="AW51" s="218">
        <f>IF(($R$41=AV51)*AND($R$42&lt;&gt;""),VLOOKUP($R$42,'Barèmes police'!$BD$40:$BE$70,2),0)</f>
        <v>0</v>
      </c>
    </row>
    <row r="52" spans="2:49" ht="12.75" customHeight="1" x14ac:dyDescent="0.2">
      <c r="B52" s="385" t="s">
        <v>209</v>
      </c>
      <c r="C52" s="386"/>
      <c r="D52" s="386"/>
      <c r="E52" s="386"/>
      <c r="F52" s="356">
        <v>0</v>
      </c>
      <c r="G52" s="357"/>
      <c r="J52" s="236" t="s">
        <v>228</v>
      </c>
      <c r="K52" s="237"/>
      <c r="L52" s="238"/>
      <c r="M52" s="247">
        <f>SUM(AT8:AT39)</f>
        <v>0</v>
      </c>
      <c r="N52" s="225" t="s">
        <v>214</v>
      </c>
      <c r="O52" s="360"/>
      <c r="P52" s="360"/>
      <c r="Q52" s="360"/>
      <c r="R52" s="361"/>
      <c r="S52" s="354">
        <f>IF($R$2="Oui",M52*6.7*Z42,0)</f>
        <v>0</v>
      </c>
      <c r="T52" s="355"/>
      <c r="U52" s="355"/>
      <c r="V52" s="233" t="s">
        <v>55</v>
      </c>
      <c r="W52" s="234">
        <f>IF($R$3="Oui",M52*6.7*Z42,0)</f>
        <v>0</v>
      </c>
      <c r="X52" s="235" t="s">
        <v>55</v>
      </c>
      <c r="Y52" s="23"/>
      <c r="Z52" s="246"/>
      <c r="AA52" s="246"/>
      <c r="AB52" s="352" t="s">
        <v>79</v>
      </c>
      <c r="AC52" s="353"/>
      <c r="AD52" s="353"/>
      <c r="AE52" s="133">
        <v>1.24</v>
      </c>
      <c r="AG52" s="348" t="s">
        <v>76</v>
      </c>
      <c r="AH52" s="349"/>
      <c r="AI52" s="349"/>
      <c r="AJ52" s="349"/>
      <c r="AK52" s="131">
        <f>AK48*0.325*0.9645*AE49</f>
        <v>1.5996922860162968</v>
      </c>
      <c r="AV52" s="18" t="s">
        <v>266</v>
      </c>
      <c r="AW52" s="218">
        <f>IF(($R$41=AV52)*AND($R$42&lt;&gt;""),VLOOKUP($R$42,'Barèmes police'!$BG$40:$BH$70,2),0)</f>
        <v>0</v>
      </c>
    </row>
    <row r="53" spans="2:49" ht="12.75" customHeight="1" x14ac:dyDescent="0.2">
      <c r="B53" s="387" t="s">
        <v>210</v>
      </c>
      <c r="C53" s="388"/>
      <c r="D53" s="388"/>
      <c r="E53" s="388"/>
      <c r="F53" s="350">
        <v>0</v>
      </c>
      <c r="G53" s="351"/>
      <c r="J53" s="236" t="s">
        <v>229</v>
      </c>
      <c r="K53" s="237"/>
      <c r="L53" s="238"/>
      <c r="M53" s="244">
        <f>SUM(Y8:Y39)</f>
        <v>0</v>
      </c>
      <c r="N53" s="237" t="s">
        <v>56</v>
      </c>
      <c r="O53" s="248"/>
      <c r="P53" s="248"/>
      <c r="Q53" s="248"/>
      <c r="R53" s="249"/>
      <c r="S53" s="354">
        <f>IF($R$2="Oui",M53*Z49,0)</f>
        <v>0</v>
      </c>
      <c r="T53" s="355"/>
      <c r="U53" s="355"/>
      <c r="V53" s="233" t="s">
        <v>55</v>
      </c>
      <c r="W53" s="234">
        <f>IF($R$3="Oui",M53*Z49,0)</f>
        <v>0</v>
      </c>
      <c r="X53" s="235" t="s">
        <v>55</v>
      </c>
      <c r="Y53" s="23"/>
      <c r="Z53" s="246"/>
      <c r="AA53" s="246"/>
      <c r="AB53" s="358" t="s">
        <v>80</v>
      </c>
      <c r="AC53" s="359"/>
      <c r="AD53" s="359"/>
      <c r="AE53" s="121">
        <v>2.48</v>
      </c>
    </row>
    <row r="54" spans="2:49" ht="12.75" customHeight="1" x14ac:dyDescent="0.2">
      <c r="J54" s="236" t="s">
        <v>244</v>
      </c>
      <c r="K54" s="237"/>
      <c r="L54" s="238"/>
      <c r="M54" s="239">
        <f>IF(MINUTE(SUM(Z8:Z39))&gt;=30,SUM(Z8:Z39)+(TIME(1,0,0))-TIME(0,MINUTE(SUM(Z8:Z39)),0),SUM(Z8:Z39)-TIME(0,MINUTE(SUM(Z8:Z39)),0))</f>
        <v>0</v>
      </c>
      <c r="N54" s="237" t="s">
        <v>190</v>
      </c>
      <c r="O54" s="248"/>
      <c r="P54" s="248"/>
      <c r="Q54" s="248"/>
      <c r="R54" s="249"/>
      <c r="S54" s="354">
        <f>IF($R$2="Oui",M54*AK54*24,0)</f>
        <v>0</v>
      </c>
      <c r="T54" s="355"/>
      <c r="U54" s="355"/>
      <c r="V54" s="233" t="s">
        <v>55</v>
      </c>
      <c r="W54" s="234">
        <f>IF($R$3="Oui",M54*AK54*24,0)</f>
        <v>0</v>
      </c>
      <c r="X54" s="235" t="s">
        <v>55</v>
      </c>
      <c r="Y54" s="23"/>
      <c r="Z54" s="246"/>
      <c r="AA54" s="246"/>
      <c r="AB54" s="358" t="s">
        <v>81</v>
      </c>
      <c r="AC54" s="359"/>
      <c r="AD54" s="359"/>
      <c r="AE54" s="121">
        <v>2.48</v>
      </c>
      <c r="AG54" s="352" t="s">
        <v>83</v>
      </c>
      <c r="AH54" s="353"/>
      <c r="AI54" s="353"/>
      <c r="AJ54" s="353"/>
      <c r="AK54" s="130">
        <f>AK44/24</f>
        <v>0.38846514804107962</v>
      </c>
    </row>
    <row r="55" spans="2:49" ht="12.75" customHeight="1" x14ac:dyDescent="0.2">
      <c r="J55" s="236" t="s">
        <v>230</v>
      </c>
      <c r="K55" s="237"/>
      <c r="L55" s="238"/>
      <c r="M55" s="239">
        <f>IF(MINUTE(SUM(AA8:AA39))&gt;=30,SUM(AA8:AA39)+(TIME(1,0,0))-TIME(0,MINUTE(SUM(AA8:AA39)),0),SUM(AA8:AA39)-TIME(0,MINUTE(SUM(AA8:AA39)),0))</f>
        <v>0</v>
      </c>
      <c r="N55" s="237" t="s">
        <v>190</v>
      </c>
      <c r="O55" s="248"/>
      <c r="P55" s="248"/>
      <c r="Q55" s="248"/>
      <c r="R55" s="249"/>
      <c r="S55" s="354">
        <f>IF($R$2="Oui",M55*AK55*24,0)</f>
        <v>0</v>
      </c>
      <c r="T55" s="355"/>
      <c r="U55" s="355"/>
      <c r="V55" s="233" t="s">
        <v>55</v>
      </c>
      <c r="W55" s="234">
        <f>IF($R$3="Oui",M55*AK55*24,0)</f>
        <v>0</v>
      </c>
      <c r="X55" s="235" t="s">
        <v>55</v>
      </c>
      <c r="Y55" s="23"/>
      <c r="Z55" s="246"/>
      <c r="AA55" s="246"/>
      <c r="AB55" s="348" t="s">
        <v>82</v>
      </c>
      <c r="AC55" s="349"/>
      <c r="AD55" s="349"/>
      <c r="AE55" s="131">
        <v>1.74</v>
      </c>
      <c r="AG55" s="348" t="s">
        <v>84</v>
      </c>
      <c r="AH55" s="349"/>
      <c r="AI55" s="349"/>
      <c r="AJ55" s="349"/>
      <c r="AK55" s="132">
        <f>AK44/15</f>
        <v>0.62154423686572735</v>
      </c>
    </row>
    <row r="56" spans="2:49" ht="12.75" customHeight="1" x14ac:dyDescent="0.2">
      <c r="J56" s="223" t="s">
        <v>57</v>
      </c>
      <c r="K56" s="224"/>
      <c r="L56" s="250"/>
      <c r="M56" s="251">
        <f>SUM(AS8:AS39)</f>
        <v>0</v>
      </c>
      <c r="N56" s="225" t="s">
        <v>214</v>
      </c>
      <c r="O56" s="252"/>
      <c r="P56" s="252"/>
      <c r="Q56" s="252"/>
      <c r="R56" s="253"/>
      <c r="S56" s="471">
        <f>IF($R$2="Oui",M56*2.81*Z42*AE49,0)</f>
        <v>0</v>
      </c>
      <c r="T56" s="472"/>
      <c r="U56" s="472"/>
      <c r="V56" s="233" t="s">
        <v>55</v>
      </c>
      <c r="W56" s="234">
        <f>IF($R$3="Oui",M56*2.81*Z42*AE49,0)</f>
        <v>0</v>
      </c>
      <c r="X56" s="235" t="s">
        <v>55</v>
      </c>
      <c r="Y56" s="23"/>
      <c r="Z56" s="246"/>
      <c r="AA56" s="246"/>
    </row>
    <row r="57" spans="2:49" ht="12.75" customHeight="1" x14ac:dyDescent="0.2">
      <c r="J57" s="254"/>
      <c r="K57" s="254"/>
      <c r="L57" s="24"/>
      <c r="M57" s="255"/>
      <c r="N57" s="256"/>
      <c r="O57" s="257"/>
      <c r="P57" s="23"/>
      <c r="Q57" s="258"/>
      <c r="R57" s="259" t="s">
        <v>262</v>
      </c>
      <c r="S57" s="473">
        <f>IF($R$2="Oui",SUM(S43:U56),0)</f>
        <v>0</v>
      </c>
      <c r="T57" s="474"/>
      <c r="U57" s="474"/>
      <c r="V57" s="260" t="s">
        <v>55</v>
      </c>
      <c r="W57" s="261">
        <f>IF($R$3="Oui",SUM(W43:W56),0)</f>
        <v>0</v>
      </c>
      <c r="X57" s="262" t="s">
        <v>55</v>
      </c>
      <c r="Y57" s="23"/>
      <c r="Z57" s="246"/>
      <c r="AA57" s="246"/>
    </row>
    <row r="58" spans="2:49" ht="12.75" customHeight="1" x14ac:dyDescent="0.2">
      <c r="Y58" s="17"/>
      <c r="AB58" s="448" t="s">
        <v>164</v>
      </c>
      <c r="AC58" s="449"/>
      <c r="AD58" s="450"/>
    </row>
    <row r="59" spans="2:49" ht="12.75" customHeight="1" x14ac:dyDescent="0.2">
      <c r="AB59" s="451">
        <f>Configuration!$H$30</f>
        <v>0</v>
      </c>
      <c r="AC59" s="452"/>
      <c r="AD59" s="453"/>
    </row>
    <row r="70" spans="48:49" ht="12.75" customHeight="1" x14ac:dyDescent="0.2">
      <c r="AV70" s="141" t="s">
        <v>270</v>
      </c>
      <c r="AW70" s="290">
        <f>IF(($R$41=AV70)*AND($R$42&lt;&gt;""),VLOOKUP($R$42,'Barèmes CALOG'!$B$4:$C$34,2),0)</f>
        <v>0</v>
      </c>
    </row>
    <row r="71" spans="48:49" ht="12.75" customHeight="1" x14ac:dyDescent="0.2">
      <c r="AV71" s="141" t="s">
        <v>271</v>
      </c>
      <c r="AW71" s="290">
        <f>IF(($R$41=AV71)*AND($R$42&lt;&gt;""),VLOOKUP($R$42,'Barèmes CALOG'!$E$4:$F$34,2),0)</f>
        <v>0</v>
      </c>
    </row>
    <row r="72" spans="48:49" ht="12.75" customHeight="1" x14ac:dyDescent="0.2">
      <c r="AV72" s="141" t="s">
        <v>272</v>
      </c>
      <c r="AW72" s="290">
        <f>IF(($R$41=AV72)*AND($R$42&lt;&gt;""),VLOOKUP($R$42,'Barèmes CALOG'!$H$4:$I$34,2),0)</f>
        <v>0</v>
      </c>
    </row>
    <row r="73" spans="48:49" ht="12.75" customHeight="1" x14ac:dyDescent="0.2">
      <c r="AV73" s="141" t="s">
        <v>273</v>
      </c>
      <c r="AW73" s="290">
        <f>IF(($R$41=AV73)*AND($R$42&lt;&gt;""),VLOOKUP($R$42,'Barèmes CALOG'!$K$4:$L$34,2),0)</f>
        <v>0</v>
      </c>
    </row>
    <row r="74" spans="48:49" ht="12.75" customHeight="1" x14ac:dyDescent="0.2">
      <c r="AV74" s="141" t="s">
        <v>274</v>
      </c>
      <c r="AW74" s="290">
        <f>IF(($R$41=AV74)*AND($R$42&lt;&gt;""),VLOOKUP($R$42,'Barèmes CALOG'!$N$4:$O$34,2),0)</f>
        <v>0</v>
      </c>
    </row>
    <row r="75" spans="48:49" ht="12.75" customHeight="1" x14ac:dyDescent="0.2">
      <c r="AV75" s="141" t="s">
        <v>275</v>
      </c>
      <c r="AW75" s="290">
        <f>IF(($R$41=AV75)*AND($R$42&lt;&gt;""),VLOOKUP($R$42,'Barèmes CALOG'!$Q$4:$R$34,2),0)</f>
        <v>0</v>
      </c>
    </row>
    <row r="76" spans="48:49" ht="12.75" customHeight="1" x14ac:dyDescent="0.2">
      <c r="AV76" s="141" t="s">
        <v>276</v>
      </c>
      <c r="AW76" s="290">
        <f>IF(($R$41=AV76)*AND($R$42&lt;&gt;""),VLOOKUP($R$42,'Barèmes CALOG'!$T$4:$U$34,2),0)</f>
        <v>0</v>
      </c>
    </row>
    <row r="77" spans="48:49" ht="12.75" customHeight="1" x14ac:dyDescent="0.2">
      <c r="AV77" s="141" t="s">
        <v>277</v>
      </c>
      <c r="AW77" s="290">
        <f>IF(($R$41=AV77)*AND($R$42&lt;&gt;""),VLOOKUP($R$42,'Barèmes CALOG'!$W$4:$X$34,2),0)</f>
        <v>0</v>
      </c>
    </row>
    <row r="78" spans="48:49" ht="12.75" customHeight="1" x14ac:dyDescent="0.2">
      <c r="AV78" s="141" t="s">
        <v>278</v>
      </c>
      <c r="AW78" s="290">
        <f>IF(($R$41=AV78)*AND($R$42&lt;&gt;""),VLOOKUP($R$42,'Barèmes CALOG'!$Z$4:$AA$34,2),0)</f>
        <v>0</v>
      </c>
    </row>
    <row r="79" spans="48:49" ht="12.75" customHeight="1" x14ac:dyDescent="0.2">
      <c r="AV79" s="141" t="s">
        <v>279</v>
      </c>
      <c r="AW79" s="290">
        <f>IF(($R$41=AV79)*AND($R$42&lt;&gt;""),VLOOKUP($R$42,'Barèmes CALOG'!$AC$4:$AD$34,2),0)</f>
        <v>0</v>
      </c>
    </row>
    <row r="80" spans="48:49" ht="12.75" customHeight="1" x14ac:dyDescent="0.2">
      <c r="AV80" s="141" t="s">
        <v>280</v>
      </c>
      <c r="AW80" s="290">
        <f>IF(($R$41=AV80)*AND($R$42&lt;&gt;""),VLOOKUP($R$42,'Barèmes CALOG'!$AF$4:$AG$34,2),0)</f>
        <v>0</v>
      </c>
    </row>
    <row r="81" spans="48:49" ht="12.75" customHeight="1" x14ac:dyDescent="0.2">
      <c r="AV81" s="141" t="s">
        <v>281</v>
      </c>
      <c r="AW81" s="290">
        <f>IF(($R$41=AV81)*AND($R$42&lt;&gt;""),VLOOKUP($R$42,'Barèmes CALOG'!$AI$4:$AJ$34,2),0)</f>
        <v>0</v>
      </c>
    </row>
    <row r="82" spans="48:49" ht="12.75" customHeight="1" x14ac:dyDescent="0.2">
      <c r="AV82" s="141" t="s">
        <v>282</v>
      </c>
      <c r="AW82" s="290">
        <f>IF(($R$41=AV82)*AND($R$42&lt;&gt;""),VLOOKUP($R$42,'Barèmes CALOG'!$AL$4:$AM$34,2),0)</f>
        <v>0</v>
      </c>
    </row>
    <row r="83" spans="48:49" ht="12.75" customHeight="1" x14ac:dyDescent="0.2">
      <c r="AV83" s="141" t="s">
        <v>283</v>
      </c>
      <c r="AW83" s="290">
        <f>IF(($R$41=AV83)*AND($R$42&lt;&gt;""),VLOOKUP($R$42,'Barèmes CALOG'!$AO$4:$AP$34,2),0)</f>
        <v>0</v>
      </c>
    </row>
    <row r="84" spans="48:49" ht="12.75" customHeight="1" x14ac:dyDescent="0.2">
      <c r="AV84" s="141" t="s">
        <v>284</v>
      </c>
      <c r="AW84" s="290">
        <f>IF(($R$41=AV84)*AND($R$42&lt;&gt;""),VLOOKUP($R$42,'Barèmes CALOG'!$AR$4:$AS$34,2),0)</f>
        <v>0</v>
      </c>
    </row>
    <row r="85" spans="48:49" ht="12.75" customHeight="1" x14ac:dyDescent="0.2">
      <c r="AV85" s="141" t="s">
        <v>285</v>
      </c>
      <c r="AW85" s="290">
        <f>IF(($R$41=AV85)*AND($R$42&lt;&gt;""),VLOOKUP($R$42,'Barèmes CALOG'!$AU$4:$AV$34,2),0)</f>
        <v>0</v>
      </c>
    </row>
    <row r="86" spans="48:49" ht="12.75" customHeight="1" x14ac:dyDescent="0.2">
      <c r="AV86" s="141" t="s">
        <v>286</v>
      </c>
      <c r="AW86" s="290">
        <f>IF(($R$41=AV86)*AND($R$42&lt;&gt;""),VLOOKUP($R$42,'Barèmes CALOG'!$AX$4:$AY$34,2),0)</f>
        <v>0</v>
      </c>
    </row>
    <row r="87" spans="48:49" ht="12.75" customHeight="1" x14ac:dyDescent="0.2">
      <c r="AV87" s="141" t="s">
        <v>287</v>
      </c>
      <c r="AW87" s="290">
        <f>IF(($R$41=AV87)*AND($R$42&lt;&gt;""),VLOOKUP($R$42,'Barèmes CALOG'!$BA$4:$BB$34,2),0)</f>
        <v>0</v>
      </c>
    </row>
    <row r="88" spans="48:49" ht="12.75" customHeight="1" x14ac:dyDescent="0.2">
      <c r="AV88" s="141" t="s">
        <v>288</v>
      </c>
      <c r="AW88" s="290">
        <f>IF(($R$41=AV88)*AND($R$42&lt;&gt;""),VLOOKUP($R$42,'Barèmes CALOG'!$BD$4:$BE$34,2),0)</f>
        <v>0</v>
      </c>
    </row>
    <row r="89" spans="48:49" ht="12.75" customHeight="1" x14ac:dyDescent="0.2">
      <c r="AV89" s="141" t="s">
        <v>289</v>
      </c>
      <c r="AW89" s="290">
        <f>IF(($R$41=AV89)*AND($R$42&lt;&gt;""),VLOOKUP($R$42,'Barèmes CALOG'!$BG$4:$BH$34,2),0)</f>
        <v>0</v>
      </c>
    </row>
    <row r="90" spans="48:49" ht="12.75" customHeight="1" x14ac:dyDescent="0.2">
      <c r="AV90" s="141" t="s">
        <v>290</v>
      </c>
      <c r="AW90" s="290">
        <f>IF(($R$41=AV90)*AND($R$42&lt;&gt;""),VLOOKUP($R$42,'Barèmes CALOG'!$BJ$4:$BK$34,2),0)</f>
        <v>0</v>
      </c>
    </row>
    <row r="91" spans="48:49" ht="12.75" customHeight="1" x14ac:dyDescent="0.2">
      <c r="AV91" s="141" t="s">
        <v>291</v>
      </c>
      <c r="AW91" s="290">
        <f>IF(($R$41=AV91)*AND($R$42&lt;&gt;""),VLOOKUP($R$42,'Barèmes CALOG'!$BM$4:$BN$34,2),0)</f>
        <v>0</v>
      </c>
    </row>
    <row r="92" spans="48:49" ht="12.75" customHeight="1" x14ac:dyDescent="0.2">
      <c r="AV92" s="141" t="s">
        <v>292</v>
      </c>
      <c r="AW92" s="290">
        <f>IF(($R$41=AV92)*AND($R$42&lt;&gt;""),VLOOKUP($R$42,'Barèmes CALOG'!$BP$4:$BQ$34,2),0)</f>
        <v>0</v>
      </c>
    </row>
    <row r="93" spans="48:49" ht="12.75" customHeight="1" x14ac:dyDescent="0.2">
      <c r="AV93" s="141" t="s">
        <v>293</v>
      </c>
      <c r="AW93" s="290">
        <f>IF(($R$41=AV93)*AND($R$42&lt;&gt;""),VLOOKUP($R$42,'Barèmes CALOG'!$BS$4:$BT$34,2),0)</f>
        <v>0</v>
      </c>
    </row>
    <row r="94" spans="48:49" ht="12.75" customHeight="1" x14ac:dyDescent="0.2">
      <c r="AV94" s="141" t="s">
        <v>294</v>
      </c>
      <c r="AW94" s="290">
        <f>IF(($R$41=AV94)*AND($R$42&lt;&gt;""),VLOOKUP($R$42,'Barèmes CALOG'!$BV$4:$BW$34,2),0)</f>
        <v>0</v>
      </c>
    </row>
    <row r="95" spans="48:49" ht="12.75" customHeight="1" x14ac:dyDescent="0.2">
      <c r="AV95" s="141" t="s">
        <v>295</v>
      </c>
      <c r="AW95" s="290">
        <f>IF(($R$41=AV95)*AND($R$42&lt;&gt;""),VLOOKUP($R$42,'Barèmes CALOG'!$BY$4:$BZ$34,2),0)</f>
        <v>0</v>
      </c>
    </row>
    <row r="96" spans="48:49" ht="12.75" customHeight="1" x14ac:dyDescent="0.2">
      <c r="AV96" s="141" t="s">
        <v>296</v>
      </c>
      <c r="AW96" s="290">
        <f>IF(($R$41=AV96)*AND($R$42&lt;&gt;""),VLOOKUP($R$42,'Barèmes CALOG'!$CB$4:$CC$34,2),0)</f>
        <v>0</v>
      </c>
    </row>
    <row r="97" spans="48:49" ht="12.75" customHeight="1" x14ac:dyDescent="0.2">
      <c r="AV97" s="141" t="s">
        <v>297</v>
      </c>
      <c r="AW97" s="290">
        <f>IF(($R$41=AV97)*AND($R$42&lt;&gt;""),VLOOKUP($R$42,'Barèmes CALOG'!$CE$4:$CF$34,2),0)</f>
        <v>0</v>
      </c>
    </row>
    <row r="98" spans="48:49" ht="12.75" customHeight="1" x14ac:dyDescent="0.2">
      <c r="AV98" s="141" t="s">
        <v>298</v>
      </c>
      <c r="AW98" s="290">
        <f>IF(($R$41=AV98)*AND($R$42&lt;&gt;""),VLOOKUP($R$42,'Barèmes CALOG'!$CH$4:$CI$34,2),0)</f>
        <v>0</v>
      </c>
    </row>
    <row r="99" spans="48:49" ht="12.75" customHeight="1" x14ac:dyDescent="0.2">
      <c r="AV99" s="141" t="s">
        <v>299</v>
      </c>
      <c r="AW99" s="290">
        <f>IF(($R$41=AV99)*AND($R$42&lt;&gt;""),VLOOKUP($R$42,'Barèmes CALOG'!$CK$4:$CL$34,2),0)</f>
        <v>0</v>
      </c>
    </row>
    <row r="100" spans="48:49" ht="12.75" customHeight="1" x14ac:dyDescent="0.2">
      <c r="AV100" s="141" t="s">
        <v>300</v>
      </c>
      <c r="AW100" s="290">
        <f>IF(($R$41=AV100)*AND($R$42&lt;&gt;""),VLOOKUP($R$42,'Barèmes CALOG'!$CN$4:$CO$34,2),0)</f>
        <v>0</v>
      </c>
    </row>
    <row r="101" spans="48:49" ht="12.75" customHeight="1" x14ac:dyDescent="0.2">
      <c r="AV101" s="141" t="s">
        <v>301</v>
      </c>
      <c r="AW101" s="290">
        <f>IF(($R$41=AV101)*AND($R$42&lt;&gt;""),VLOOKUP($R$42,'Barèmes CALOG'!$CQ$4:$CR$34,2),0)</f>
        <v>0</v>
      </c>
    </row>
    <row r="102" spans="48:49" ht="12.75" customHeight="1" x14ac:dyDescent="0.2">
      <c r="AV102" s="141" t="s">
        <v>302</v>
      </c>
      <c r="AW102" s="290">
        <f>IF(($R$41=AV102)*AND($R$42&lt;&gt;""),VLOOKUP($R$42,'Barèmes CALOG'!$CT$4:$CU$34,2),0)</f>
        <v>0</v>
      </c>
    </row>
    <row r="103" spans="48:49" ht="12.75" customHeight="1" x14ac:dyDescent="0.2">
      <c r="AV103" s="141" t="s">
        <v>303</v>
      </c>
      <c r="AW103" s="290">
        <f>IF(($R$41=AV103)*AND($R$42&lt;&gt;""),VLOOKUP($R$42,'Barèmes CALOG'!$CW$4:$CX$34,2),0)</f>
        <v>0</v>
      </c>
    </row>
    <row r="104" spans="48:49" ht="12.75" customHeight="1" x14ac:dyDescent="0.2">
      <c r="AV104" s="141" t="s">
        <v>304</v>
      </c>
      <c r="AW104" s="290">
        <f>IF(($R$41=AV104)*AND($R$42&lt;&gt;""),VLOOKUP($R$42,'Barèmes CALOG'!$B$40:$C$70,2),0)</f>
        <v>0</v>
      </c>
    </row>
    <row r="105" spans="48:49" ht="12.75" customHeight="1" x14ac:dyDescent="0.2">
      <c r="AV105" s="141" t="s">
        <v>305</v>
      </c>
      <c r="AW105" s="290">
        <f>IF(($R$41=AV105)*AND($R$42&lt;&gt;""),VLOOKUP($R$42,'Barèmes CALOG'!$E$40:$F$70,2),0)</f>
        <v>0</v>
      </c>
    </row>
    <row r="106" spans="48:49" ht="12.75" customHeight="1" x14ac:dyDescent="0.2">
      <c r="AV106" s="141" t="s">
        <v>306</v>
      </c>
      <c r="AW106" s="290">
        <f>IF(($R$41=AV106)*AND($R$42&lt;&gt;""),VLOOKUP($R$42,'Barèmes CALOG'!$H$40:$I$70,2),0)</f>
        <v>0</v>
      </c>
    </row>
    <row r="107" spans="48:49" ht="12.75" customHeight="1" x14ac:dyDescent="0.2">
      <c r="AV107" s="141" t="s">
        <v>307</v>
      </c>
      <c r="AW107" s="290">
        <f>IF(($R$41=AV107)*AND($R$42&lt;&gt;""),VLOOKUP($R$42,'Barèmes CALOG'!$K$40:$L$70,2),0)</f>
        <v>0</v>
      </c>
    </row>
    <row r="108" spans="48:49" ht="12.75" customHeight="1" x14ac:dyDescent="0.2">
      <c r="AV108" s="141" t="s">
        <v>308</v>
      </c>
      <c r="AW108" s="290">
        <f>IF(($R$41=AV108)*AND($R$42&lt;&gt;""),VLOOKUP($R$42,'Barèmes CALOG'!$N$40:$O$70,2),0)</f>
        <v>0</v>
      </c>
    </row>
    <row r="109" spans="48:49" ht="12.75" customHeight="1" x14ac:dyDescent="0.2">
      <c r="AV109" s="141" t="s">
        <v>309</v>
      </c>
      <c r="AW109" s="290">
        <f>IF(($R$41=AV109)*AND($R$42&lt;&gt;""),VLOOKUP($R$42,'Barèmes CALOG'!$Q$40:$R$70,2),0)</f>
        <v>0</v>
      </c>
    </row>
    <row r="110" spans="48:49" ht="12.75" customHeight="1" x14ac:dyDescent="0.2">
      <c r="AV110" s="141" t="s">
        <v>310</v>
      </c>
      <c r="AW110" s="290">
        <f>IF(($R$41=AV110)*AND($R$42&lt;&gt;""),VLOOKUP($R$42,'Barèmes CALOG'!$T$40:$U$70,2),0)</f>
        <v>0</v>
      </c>
    </row>
    <row r="111" spans="48:49" ht="12.75" customHeight="1" x14ac:dyDescent="0.2">
      <c r="AV111" s="141" t="s">
        <v>311</v>
      </c>
      <c r="AW111" s="290">
        <f>IF(($R$41=AV111)*AND($R$42&lt;&gt;""),VLOOKUP($R$42,'Barèmes CALOG'!$W$40:$X$70,2),0)</f>
        <v>0</v>
      </c>
    </row>
    <row r="112" spans="48:49" ht="12.75" customHeight="1" x14ac:dyDescent="0.2">
      <c r="AV112" s="141" t="s">
        <v>312</v>
      </c>
      <c r="AW112" s="290">
        <f>IF(($R$41=AV112)*AND($R$42&lt;&gt;""),VLOOKUP($R$42,'Barèmes CALOG'!$Z$40:$AA$70,2),0)</f>
        <v>0</v>
      </c>
    </row>
    <row r="113" spans="48:49" ht="12.75" customHeight="1" x14ac:dyDescent="0.2">
      <c r="AV113" s="141" t="s">
        <v>313</v>
      </c>
      <c r="AW113" s="290">
        <f>IF(($R$41=AV113)*AND($R$42&lt;&gt;""),VLOOKUP($R$42,'Barèmes CALOG'!$AC$40:$AD$70,2),0)</f>
        <v>0</v>
      </c>
    </row>
    <row r="114" spans="48:49" ht="12.75" customHeight="1" x14ac:dyDescent="0.2">
      <c r="AV114" s="141" t="s">
        <v>314</v>
      </c>
      <c r="AW114" s="290">
        <f>IF(($R$41=AV114)*AND($R$42&lt;&gt;""),VLOOKUP($R$42,'Barèmes CALOG'!$AF$40:$AG$70,2),0)</f>
        <v>0</v>
      </c>
    </row>
    <row r="115" spans="48:49" ht="12.75" customHeight="1" x14ac:dyDescent="0.2">
      <c r="AV115" s="141" t="s">
        <v>315</v>
      </c>
      <c r="AW115" s="290">
        <f>IF(($R$41=AV115)*AND($R$42&lt;&gt;""),VLOOKUP($R$42,'Barèmes CALOG'!$AI$40:$AJ$70,2),0)</f>
        <v>0</v>
      </c>
    </row>
    <row r="116" spans="48:49" ht="12.75" customHeight="1" x14ac:dyDescent="0.2">
      <c r="AV116" s="141" t="s">
        <v>316</v>
      </c>
      <c r="AW116" s="290">
        <f>IF(($R$41=AV116)*AND($R$42&lt;&gt;""),VLOOKUP($R$42,'Barèmes CALOG'!$AL$40:$AM$70,2),0)</f>
        <v>0</v>
      </c>
    </row>
    <row r="117" spans="48:49" ht="12.75" customHeight="1" x14ac:dyDescent="0.2">
      <c r="AV117" s="141" t="s">
        <v>317</v>
      </c>
      <c r="AW117" s="290">
        <f>IF(($R$41=AV117)*AND($R$42&lt;&gt;""),VLOOKUP($R$42,'Barèmes CALOG'!$AO$40:$AP$70,2),0)</f>
        <v>0</v>
      </c>
    </row>
    <row r="118" spans="48:49" ht="12.75" customHeight="1" x14ac:dyDescent="0.2">
      <c r="AV118" s="141" t="s">
        <v>318</v>
      </c>
      <c r="AW118" s="290">
        <f>IF(($R$41=AV118)*AND($R$42&lt;&gt;""),VLOOKUP($R$42,'Barèmes CALOG'!$AR$40:$AS$70,2),0)</f>
        <v>0</v>
      </c>
    </row>
    <row r="119" spans="48:49" ht="12.75" customHeight="1" x14ac:dyDescent="0.2">
      <c r="AV119" s="141" t="s">
        <v>319</v>
      </c>
      <c r="AW119" s="290">
        <f>IF(($R$41=AV119)*AND($R$42&lt;&gt;""),VLOOKUP($R$42,'Barèmes CALOG'!$AU$40:$AV$70,2),0)</f>
        <v>0</v>
      </c>
    </row>
    <row r="120" spans="48:49" ht="12.75" customHeight="1" x14ac:dyDescent="0.2">
      <c r="AV120" s="141" t="s">
        <v>320</v>
      </c>
      <c r="AW120" s="290">
        <f>IF(($R$41=AV120)*AND($R$42&lt;&gt;""),VLOOKUP($R$42,'Barèmes CALOG'!$AX$40:$AY$70,2),0)</f>
        <v>0</v>
      </c>
    </row>
    <row r="121" spans="48:49" ht="12.75" customHeight="1" x14ac:dyDescent="0.2">
      <c r="AV121" s="141" t="s">
        <v>321</v>
      </c>
      <c r="AW121" s="290">
        <f>IF(($R$41=AV121)*AND($R$42&lt;&gt;""),VLOOKUP($R$42,'Barèmes CALOG'!$BA$40:$BB$70,2),0)</f>
        <v>0</v>
      </c>
    </row>
    <row r="122" spans="48:49" ht="12.75" customHeight="1" x14ac:dyDescent="0.2">
      <c r="AV122" s="141" t="s">
        <v>322</v>
      </c>
      <c r="AW122" s="290">
        <f>IF(($R$41=AV122)*AND($R$42&lt;&gt;""),VLOOKUP($R$42,'Barèmes CALOG'!$BD$40:$BE$70,2),0)</f>
        <v>0</v>
      </c>
    </row>
    <row r="123" spans="48:49" ht="12.75" customHeight="1" x14ac:dyDescent="0.2">
      <c r="AV123" s="141" t="s">
        <v>323</v>
      </c>
      <c r="AW123" s="290">
        <f>IF(($R$41=AV123)*AND($R$42&lt;&gt;""),VLOOKUP($R$42,'Barèmes CALOG'!$BG$40:$BH$70,2),0)</f>
        <v>0</v>
      </c>
    </row>
    <row r="124" spans="48:49" ht="12.75" customHeight="1" x14ac:dyDescent="0.2">
      <c r="AV124" s="141" t="s">
        <v>324</v>
      </c>
      <c r="AW124" s="290">
        <f>IF(($R$41=AV124)*AND($R$42&lt;&gt;""),VLOOKUP($R$42,'Barèmes CALOG'!$BJ$40:$BK$70,2),0)</f>
        <v>0</v>
      </c>
    </row>
    <row r="125" spans="48:49" ht="12.75" customHeight="1" x14ac:dyDescent="0.2">
      <c r="AV125" s="141" t="s">
        <v>325</v>
      </c>
      <c r="AW125" s="290">
        <f>IF(($R$41=AV125)*AND($R$42&lt;&gt;""),VLOOKUP($R$42,'Barèmes CALOG'!$BM$40:$BN$70,2),0)</f>
        <v>0</v>
      </c>
    </row>
    <row r="126" spans="48:49" ht="12.75" customHeight="1" x14ac:dyDescent="0.2">
      <c r="AV126" s="141" t="s">
        <v>326</v>
      </c>
      <c r="AW126" s="290">
        <f>IF(($R$41=AV126)*AND($R$42&lt;&gt;""),VLOOKUP($R$42,'Barèmes CALOG'!$BP$40:$BQ$70,2),0)</f>
        <v>0</v>
      </c>
    </row>
    <row r="127" spans="48:49" ht="12.75" customHeight="1" x14ac:dyDescent="0.2">
      <c r="AV127" s="141" t="s">
        <v>327</v>
      </c>
      <c r="AW127" s="290">
        <f>IF(($R$41=AV127)*AND($R$42&lt;&gt;""),VLOOKUP($R$42,'Barèmes CALOG'!$BS$40:$BT$70,2),0)</f>
        <v>0</v>
      </c>
    </row>
    <row r="128" spans="48:49" ht="12.75" customHeight="1" x14ac:dyDescent="0.2">
      <c r="AV128" s="141" t="s">
        <v>328</v>
      </c>
      <c r="AW128" s="290">
        <f>IF(($R$41=AV128)*AND($R$42&lt;&gt;""),VLOOKUP($R$42,'Barèmes CALOG'!$BV$40:$BW$70,2),0)</f>
        <v>0</v>
      </c>
    </row>
    <row r="129" spans="48:49" ht="12.75" customHeight="1" x14ac:dyDescent="0.2">
      <c r="AV129" s="141" t="s">
        <v>329</v>
      </c>
      <c r="AW129" s="290">
        <f>IF(($R$41=AV129)*AND($R$42&lt;&gt;""),VLOOKUP($R$42,'Barèmes CALOG'!$BY$40:$BZ$70,2),0)</f>
        <v>0</v>
      </c>
    </row>
    <row r="130" spans="48:49" ht="12.75" customHeight="1" x14ac:dyDescent="0.2">
      <c r="AV130" s="141" t="s">
        <v>330</v>
      </c>
      <c r="AW130" s="290">
        <f>IF(($R$41=AV130)*AND($R$42&lt;&gt;""),VLOOKUP($R$42,'Barèmes CALOG'!$CB$40:$CC$70,2),0)</f>
        <v>0</v>
      </c>
    </row>
    <row r="131" spans="48:49" ht="12.75" customHeight="1" x14ac:dyDescent="0.2">
      <c r="AV131" s="141" t="s">
        <v>331</v>
      </c>
      <c r="AW131" s="290">
        <f>IF(($R$41=AV131)*AND($R$42&lt;&gt;""),VLOOKUP($R$42,'Barèmes CALOG'!$CE$40:$CF$70,2),0)</f>
        <v>0</v>
      </c>
    </row>
  </sheetData>
  <sheetProtection password="EC91" sheet="1" objects="1" scenarios="1" selectLockedCells="1"/>
  <mergeCells count="124">
    <mergeCell ref="AB58:AD58"/>
    <mergeCell ref="B53:E53"/>
    <mergeCell ref="F53:G53"/>
    <mergeCell ref="S53:U53"/>
    <mergeCell ref="AB53:AD53"/>
    <mergeCell ref="AB59:AD59"/>
    <mergeCell ref="AG54:AJ54"/>
    <mergeCell ref="S55:U55"/>
    <mergeCell ref="AB55:AD55"/>
    <mergeCell ref="AG55:AJ55"/>
    <mergeCell ref="S56:U56"/>
    <mergeCell ref="S57:U57"/>
    <mergeCell ref="S54:U54"/>
    <mergeCell ref="AB54:AD54"/>
    <mergeCell ref="S52:U52"/>
    <mergeCell ref="AB52:AD52"/>
    <mergeCell ref="AG52:AJ52"/>
    <mergeCell ref="B50:G50"/>
    <mergeCell ref="O50:Q50"/>
    <mergeCell ref="S50:U50"/>
    <mergeCell ref="B51:E51"/>
    <mergeCell ref="S51:U51"/>
    <mergeCell ref="AG51:AJ51"/>
    <mergeCell ref="O51:R51"/>
    <mergeCell ref="B52:E52"/>
    <mergeCell ref="F52:G52"/>
    <mergeCell ref="O52:R52"/>
    <mergeCell ref="O49:Q49"/>
    <mergeCell ref="S49:U49"/>
    <mergeCell ref="AB49:AD49"/>
    <mergeCell ref="AG49:AJ49"/>
    <mergeCell ref="O47:Q47"/>
    <mergeCell ref="S47:U47"/>
    <mergeCell ref="AB48:AD48"/>
    <mergeCell ref="Z48:AA48"/>
    <mergeCell ref="Z49:AA49"/>
    <mergeCell ref="B48:E48"/>
    <mergeCell ref="F48:G48"/>
    <mergeCell ref="O48:Q48"/>
    <mergeCell ref="S48:U48"/>
    <mergeCell ref="AM45:AP45"/>
    <mergeCell ref="AQ45:AR45"/>
    <mergeCell ref="B46:D46"/>
    <mergeCell ref="E46:F46"/>
    <mergeCell ref="G46:H46"/>
    <mergeCell ref="Z46:AA46"/>
    <mergeCell ref="AG48:AJ48"/>
    <mergeCell ref="AB46:AD46"/>
    <mergeCell ref="AG46:AJ46"/>
    <mergeCell ref="AM46:AP46"/>
    <mergeCell ref="AQ46:AR46"/>
    <mergeCell ref="B45:D45"/>
    <mergeCell ref="E45:F45"/>
    <mergeCell ref="G45:H45"/>
    <mergeCell ref="S45:U45"/>
    <mergeCell ref="AB45:AD45"/>
    <mergeCell ref="AG45:AJ45"/>
    <mergeCell ref="B44:D44"/>
    <mergeCell ref="E44:F44"/>
    <mergeCell ref="G44:H44"/>
    <mergeCell ref="S44:U44"/>
    <mergeCell ref="Z44:AA45"/>
    <mergeCell ref="AB44:AD44"/>
    <mergeCell ref="AG44:AJ44"/>
    <mergeCell ref="AM44:AP44"/>
    <mergeCell ref="AQ44:AR44"/>
    <mergeCell ref="B43:D43"/>
    <mergeCell ref="E43:F43"/>
    <mergeCell ref="G43:H43"/>
    <mergeCell ref="S43:U43"/>
    <mergeCell ref="J41:N41"/>
    <mergeCell ref="R41:S41"/>
    <mergeCell ref="AB43:AD43"/>
    <mergeCell ref="AG43:AJ43"/>
    <mergeCell ref="AM43:AQ43"/>
    <mergeCell ref="B42:D42"/>
    <mergeCell ref="E42:F42"/>
    <mergeCell ref="G42:H42"/>
    <mergeCell ref="R42:S42"/>
    <mergeCell ref="T42:V42"/>
    <mergeCell ref="Z42:AA42"/>
    <mergeCell ref="B41:D41"/>
    <mergeCell ref="E41:F41"/>
    <mergeCell ref="G41:H41"/>
    <mergeCell ref="T41:V41"/>
    <mergeCell ref="O7:P7"/>
    <mergeCell ref="AV4:AV7"/>
    <mergeCell ref="AW4:AW7"/>
    <mergeCell ref="AH5:AJ5"/>
    <mergeCell ref="AK5:AN5"/>
    <mergeCell ref="W40:X40"/>
    <mergeCell ref="AF4:AF7"/>
    <mergeCell ref="AS4:AS7"/>
    <mergeCell ref="AO4:AR4"/>
    <mergeCell ref="AT4:AT7"/>
    <mergeCell ref="AU4:AU7"/>
    <mergeCell ref="AG4:AG7"/>
    <mergeCell ref="AE4:AE7"/>
    <mergeCell ref="Z41:AA41"/>
    <mergeCell ref="Z6:Z7"/>
    <mergeCell ref="X6:X7"/>
    <mergeCell ref="AB4:AB7"/>
    <mergeCell ref="AC4:AC7"/>
    <mergeCell ref="AD4:AD7"/>
    <mergeCell ref="J6:K6"/>
    <mergeCell ref="L6:N6"/>
    <mergeCell ref="O6:P6"/>
    <mergeCell ref="Q6:T6"/>
    <mergeCell ref="B6:B7"/>
    <mergeCell ref="C6:C7"/>
    <mergeCell ref="D6:D7"/>
    <mergeCell ref="E6:E7"/>
    <mergeCell ref="F6:G6"/>
    <mergeCell ref="H6:I6"/>
    <mergeCell ref="D2:G2"/>
    <mergeCell ref="I2:L2"/>
    <mergeCell ref="N2:Q2"/>
    <mergeCell ref="R2:S2"/>
    <mergeCell ref="D3:G3"/>
    <mergeCell ref="J3:L3"/>
    <mergeCell ref="N3:Q3"/>
    <mergeCell ref="R3:S3"/>
    <mergeCell ref="D4:G4"/>
    <mergeCell ref="J4:L4"/>
  </mergeCells>
  <conditionalFormatting sqref="B8:AA38">
    <cfRule type="expression" dxfId="9" priority="4" stopIfTrue="1">
      <formula>OR($B8="Sa",$B8="Di",$D8="Jour férié semaine",$D8="Jour de pont")</formula>
    </cfRule>
  </conditionalFormatting>
  <conditionalFormatting sqref="Y8:AA38">
    <cfRule type="expression" dxfId="8" priority="1" stopIfTrue="1">
      <formula>OR($B8="Za",$B8="Zo",$D8="Feestdag week",$D8="Brugdag")</formula>
    </cfRule>
  </conditionalFormatting>
  <dataValidations count="3">
    <dataValidation type="list" allowBlank="1" showInputMessage="1" showErrorMessage="1" sqref="E8:E38" xr:uid="{00000000-0002-0000-0A00-000000000000}">
      <formula1>"M,E,ME"</formula1>
    </dataValidation>
    <dataValidation type="list" allowBlank="1" showInputMessage="1" showErrorMessage="1" sqref="D8:D38" xr:uid="{00000000-0002-0000-0A00-000001000000}">
      <formula1>$AX$8:$AX$29</formula1>
    </dataValidation>
    <dataValidation type="list" allowBlank="1" showInputMessage="1" showErrorMessage="1" sqref="R2:R3 F48" xr:uid="{00000000-0002-0000-0A00-000002000000}">
      <formula1>"Oui,Non"</formula1>
    </dataValidation>
  </dataValidations>
  <pageMargins left="0.7" right="0.7" top="0.75" bottom="0.75" header="0.3" footer="0.3"/>
  <pageSetup paperSize="9" scale="68" fitToWidth="0" orientation="landscape"/>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BF131"/>
  <sheetViews>
    <sheetView workbookViewId="0">
      <selection activeCell="D8" sqref="D8"/>
    </sheetView>
  </sheetViews>
  <sheetFormatPr defaultRowHeight="12.75" customHeight="1" x14ac:dyDescent="0.2"/>
  <cols>
    <col min="1" max="1" width="1.42578125" style="17" customWidth="1"/>
    <col min="2" max="2" width="4" style="19" customWidth="1"/>
    <col min="3" max="3" width="6.85546875" style="17" customWidth="1"/>
    <col min="4" max="4" width="17.7109375" style="17" customWidth="1"/>
    <col min="5" max="5" width="4.42578125" style="17" customWidth="1"/>
    <col min="6" max="7" width="5.140625" style="37" customWidth="1"/>
    <col min="8" max="11" width="5.140625" style="17" customWidth="1"/>
    <col min="12" max="12" width="5.7109375" style="19" customWidth="1"/>
    <col min="13" max="13" width="6.28515625" style="19" customWidth="1"/>
    <col min="14" max="14" width="6.140625" style="18" customWidth="1"/>
    <col min="15" max="15" width="2.42578125" style="18" customWidth="1"/>
    <col min="16" max="16" width="6.42578125" style="17" customWidth="1"/>
    <col min="17" max="20" width="2.85546875" style="17" customWidth="1"/>
    <col min="21" max="21" width="5.7109375" style="17" customWidth="1"/>
    <col min="22" max="23" width="7.42578125" style="17" customWidth="1"/>
    <col min="24" max="24" width="7.7109375" style="17" customWidth="1"/>
    <col min="25" max="25" width="5.28515625" style="141" customWidth="1"/>
    <col min="26" max="26" width="6.42578125" style="141" customWidth="1"/>
    <col min="27" max="27" width="7.7109375" style="141" customWidth="1"/>
    <col min="28" max="28" width="7.85546875" style="141" hidden="1" customWidth="1"/>
    <col min="29" max="32" width="12.42578125" style="141" hidden="1" customWidth="1"/>
    <col min="33" max="33" width="8" style="141" hidden="1" customWidth="1"/>
    <col min="34" max="34" width="9.140625" style="141" hidden="1" customWidth="1"/>
    <col min="35" max="45" width="7.7109375" style="141" hidden="1" customWidth="1"/>
    <col min="46" max="48" width="12.140625" style="141" hidden="1" customWidth="1"/>
    <col min="49" max="51" width="9.85546875" style="141" hidden="1" customWidth="1"/>
    <col min="52" max="256" width="11.42578125" style="17" customWidth="1"/>
    <col min="257" max="16384" width="9.140625" style="17"/>
  </cols>
  <sheetData>
    <row r="1" spans="1:58" ht="5.25" customHeight="1" x14ac:dyDescent="0.2"/>
    <row r="2" spans="1:58" ht="12.75" customHeight="1" x14ac:dyDescent="0.2">
      <c r="D2" s="455" t="str">
        <f>CONCATENATE("Utilisateur: ",Configuration!H17)</f>
        <v xml:space="preserve">Utilisateur: </v>
      </c>
      <c r="E2" s="455"/>
      <c r="F2" s="455"/>
      <c r="G2" s="455"/>
      <c r="I2" s="456" t="s">
        <v>174</v>
      </c>
      <c r="J2" s="438"/>
      <c r="K2" s="438"/>
      <c r="L2" s="438"/>
      <c r="M2" s="18"/>
      <c r="N2" s="456" t="s">
        <v>177</v>
      </c>
      <c r="O2" s="438"/>
      <c r="P2" s="438"/>
      <c r="Q2" s="438"/>
      <c r="R2" s="439" t="s">
        <v>179</v>
      </c>
      <c r="S2" s="439"/>
      <c r="T2" s="20"/>
    </row>
    <row r="3" spans="1:58" ht="12.75" customHeight="1" x14ac:dyDescent="0.2">
      <c r="D3" s="440" t="str">
        <f>Configuration!G8</f>
        <v>OTT Tool 2024</v>
      </c>
      <c r="E3" s="440"/>
      <c r="F3" s="440"/>
      <c r="G3" s="440"/>
      <c r="I3" s="26"/>
      <c r="J3" s="438" t="s">
        <v>175</v>
      </c>
      <c r="K3" s="438"/>
      <c r="L3" s="438"/>
      <c r="M3" s="45">
        <f>IF(Aou!$F$48="Oui",Aou!F52,0)</f>
        <v>0</v>
      </c>
      <c r="N3" s="456" t="s">
        <v>178</v>
      </c>
      <c r="O3" s="438"/>
      <c r="P3" s="438"/>
      <c r="Q3" s="438"/>
      <c r="R3" s="439" t="s">
        <v>180</v>
      </c>
      <c r="S3" s="439"/>
      <c r="T3" s="20"/>
    </row>
    <row r="4" spans="1:58" ht="12.75" customHeight="1" x14ac:dyDescent="0.2">
      <c r="D4" s="440" t="s">
        <v>173</v>
      </c>
      <c r="E4" s="440"/>
      <c r="F4" s="440"/>
      <c r="G4" s="440"/>
      <c r="I4" s="20"/>
      <c r="J4" s="438" t="s">
        <v>176</v>
      </c>
      <c r="K4" s="438"/>
      <c r="L4" s="438"/>
      <c r="M4" s="45">
        <f>IF(Aou!$F$48="Oui",Aou!F53,Aou!M4)</f>
        <v>0</v>
      </c>
      <c r="N4" s="21"/>
      <c r="O4" s="19"/>
      <c r="Q4" s="18"/>
      <c r="T4" s="20"/>
      <c r="AB4" s="443" t="s">
        <v>259</v>
      </c>
      <c r="AC4" s="432" t="s">
        <v>160</v>
      </c>
      <c r="AD4" s="432" t="s">
        <v>255</v>
      </c>
      <c r="AE4" s="432" t="s">
        <v>166</v>
      </c>
      <c r="AF4" s="454" t="s">
        <v>168</v>
      </c>
      <c r="AG4" s="429" t="s">
        <v>45</v>
      </c>
      <c r="AJ4" s="121"/>
      <c r="AO4" s="426" t="s">
        <v>48</v>
      </c>
      <c r="AP4" s="427"/>
      <c r="AQ4" s="427"/>
      <c r="AR4" s="428"/>
      <c r="AS4" s="430" t="s">
        <v>52</v>
      </c>
      <c r="AT4" s="431" t="s">
        <v>53</v>
      </c>
      <c r="AU4" s="431" t="s">
        <v>60</v>
      </c>
      <c r="AV4" s="418" t="s">
        <v>62</v>
      </c>
      <c r="AW4" s="432" t="s">
        <v>63</v>
      </c>
    </row>
    <row r="5" spans="1:58" ht="12.75" customHeight="1" x14ac:dyDescent="0.2">
      <c r="B5" s="35"/>
      <c r="AB5" s="443"/>
      <c r="AC5" s="432"/>
      <c r="AD5" s="432"/>
      <c r="AE5" s="432"/>
      <c r="AF5" s="454"/>
      <c r="AG5" s="429"/>
      <c r="AH5" s="426" t="s">
        <v>47</v>
      </c>
      <c r="AI5" s="427"/>
      <c r="AJ5" s="428"/>
      <c r="AK5" s="426" t="s">
        <v>46</v>
      </c>
      <c r="AL5" s="427"/>
      <c r="AM5" s="427"/>
      <c r="AN5" s="428"/>
      <c r="AO5" s="105" t="s">
        <v>49</v>
      </c>
      <c r="AP5" s="94" t="s">
        <v>50</v>
      </c>
      <c r="AQ5" s="94" t="s">
        <v>51</v>
      </c>
      <c r="AR5" s="112" t="s">
        <v>46</v>
      </c>
      <c r="AS5" s="430"/>
      <c r="AT5" s="431"/>
      <c r="AU5" s="431"/>
      <c r="AV5" s="418"/>
      <c r="AW5" s="432"/>
    </row>
    <row r="6" spans="1:58" ht="12.75" customHeight="1" x14ac:dyDescent="0.2">
      <c r="A6" s="34"/>
      <c r="B6" s="419" t="s">
        <v>181</v>
      </c>
      <c r="C6" s="421" t="s">
        <v>182</v>
      </c>
      <c r="D6" s="421" t="s">
        <v>183</v>
      </c>
      <c r="E6" s="423" t="s">
        <v>184</v>
      </c>
      <c r="F6" s="446" t="s">
        <v>111</v>
      </c>
      <c r="G6" s="447"/>
      <c r="H6" s="433" t="s">
        <v>111</v>
      </c>
      <c r="I6" s="434"/>
      <c r="J6" s="433" t="s">
        <v>111</v>
      </c>
      <c r="K6" s="434"/>
      <c r="L6" s="433" t="s">
        <v>185</v>
      </c>
      <c r="M6" s="435"/>
      <c r="N6" s="434"/>
      <c r="O6" s="436" t="s">
        <v>41</v>
      </c>
      <c r="P6" s="437"/>
      <c r="Q6" s="433" t="s">
        <v>189</v>
      </c>
      <c r="R6" s="435"/>
      <c r="S6" s="435"/>
      <c r="T6" s="434"/>
      <c r="U6" s="27" t="s">
        <v>190</v>
      </c>
      <c r="V6" s="27" t="s">
        <v>191</v>
      </c>
      <c r="W6" s="27" t="s">
        <v>191</v>
      </c>
      <c r="X6" s="444" t="s">
        <v>192</v>
      </c>
      <c r="Y6" s="137" t="s">
        <v>195</v>
      </c>
      <c r="Z6" s="421" t="s">
        <v>245</v>
      </c>
      <c r="AA6" s="137" t="s">
        <v>246</v>
      </c>
      <c r="AB6" s="443"/>
      <c r="AC6" s="432"/>
      <c r="AD6" s="432"/>
      <c r="AE6" s="432"/>
      <c r="AF6" s="454"/>
      <c r="AG6" s="429"/>
      <c r="AH6" s="102">
        <v>0.79166666666666663</v>
      </c>
      <c r="AI6" s="100">
        <v>0</v>
      </c>
      <c r="AJ6" s="104">
        <v>0.79166666666666663</v>
      </c>
      <c r="AK6" s="120">
        <v>0.91666666666666663</v>
      </c>
      <c r="AL6" s="100">
        <v>0</v>
      </c>
      <c r="AM6" s="96">
        <v>0.79166666666666663</v>
      </c>
      <c r="AN6" s="104">
        <v>0.91666666666666663</v>
      </c>
      <c r="AO6" s="113">
        <v>0.25</v>
      </c>
      <c r="AP6" s="114">
        <v>0.5</v>
      </c>
      <c r="AQ6" s="114">
        <v>0.75</v>
      </c>
      <c r="AR6" s="115">
        <v>0</v>
      </c>
      <c r="AS6" s="430"/>
      <c r="AT6" s="431"/>
      <c r="AU6" s="431"/>
      <c r="AV6" s="418"/>
      <c r="AW6" s="432"/>
      <c r="AZ6" s="22"/>
      <c r="BA6" s="23"/>
    </row>
    <row r="7" spans="1:58" ht="12.75" customHeight="1" x14ac:dyDescent="0.2">
      <c r="A7" s="34"/>
      <c r="B7" s="420"/>
      <c r="C7" s="422"/>
      <c r="D7" s="422"/>
      <c r="E7" s="424"/>
      <c r="F7" s="38" t="s">
        <v>112</v>
      </c>
      <c r="G7" s="39" t="s">
        <v>113</v>
      </c>
      <c r="H7" s="28" t="s">
        <v>112</v>
      </c>
      <c r="I7" s="139" t="s">
        <v>113</v>
      </c>
      <c r="J7" s="28" t="s">
        <v>112</v>
      </c>
      <c r="K7" s="139" t="s">
        <v>113</v>
      </c>
      <c r="L7" s="28" t="s">
        <v>186</v>
      </c>
      <c r="M7" s="29" t="s">
        <v>187</v>
      </c>
      <c r="N7" s="139" t="s">
        <v>44</v>
      </c>
      <c r="O7" s="441" t="s">
        <v>188</v>
      </c>
      <c r="P7" s="442"/>
      <c r="Q7" s="31" t="s">
        <v>198</v>
      </c>
      <c r="R7" s="32" t="s">
        <v>42</v>
      </c>
      <c r="S7" s="32" t="s">
        <v>199</v>
      </c>
      <c r="T7" s="140" t="s">
        <v>200</v>
      </c>
      <c r="U7" s="30" t="s">
        <v>43</v>
      </c>
      <c r="V7" s="33" t="s">
        <v>193</v>
      </c>
      <c r="W7" s="33" t="s">
        <v>194</v>
      </c>
      <c r="X7" s="445"/>
      <c r="Y7" s="138" t="s">
        <v>196</v>
      </c>
      <c r="Z7" s="422"/>
      <c r="AA7" s="138" t="s">
        <v>247</v>
      </c>
      <c r="AB7" s="443"/>
      <c r="AC7" s="432"/>
      <c r="AD7" s="432"/>
      <c r="AE7" s="432"/>
      <c r="AF7" s="454"/>
      <c r="AG7" s="429"/>
      <c r="AH7" s="102">
        <v>1</v>
      </c>
      <c r="AI7" s="100">
        <v>0.29166666666666669</v>
      </c>
      <c r="AJ7" s="104">
        <v>0.29166666666666669</v>
      </c>
      <c r="AK7" s="102">
        <v>1</v>
      </c>
      <c r="AL7" s="99">
        <v>0.25</v>
      </c>
      <c r="AM7" s="95">
        <v>0.91666666666666663</v>
      </c>
      <c r="AN7" s="103">
        <v>0.25</v>
      </c>
      <c r="AO7" s="106">
        <v>0.33333333333333331</v>
      </c>
      <c r="AP7" s="96">
        <v>0.58333333333333337</v>
      </c>
      <c r="AQ7" s="96">
        <v>0.83333333333333337</v>
      </c>
      <c r="AR7" s="104">
        <v>8.3333333333333329E-2</v>
      </c>
      <c r="AS7" s="430"/>
      <c r="AT7" s="431"/>
      <c r="AU7" s="431"/>
      <c r="AV7" s="418"/>
      <c r="AW7" s="432"/>
      <c r="AZ7" s="22" t="s">
        <v>197</v>
      </c>
      <c r="BA7" s="23"/>
    </row>
    <row r="8" spans="1:58" ht="12.75" customHeight="1" x14ac:dyDescent="0.2">
      <c r="A8" s="34"/>
      <c r="B8" s="59" t="str">
        <f t="shared" ref="B8:B37" si="0">CHOOSE(WEEKDAY(C8),"Di","Lu","Ma","Me","Je","Ve","Sa")</f>
        <v>Di</v>
      </c>
      <c r="C8" s="60">
        <f>DATE(RIGHT(Configuration!$G$8,4),9,1)</f>
        <v>45536</v>
      </c>
      <c r="D8" s="61"/>
      <c r="E8" s="62"/>
      <c r="F8" s="63"/>
      <c r="G8" s="64"/>
      <c r="H8" s="63"/>
      <c r="I8" s="64"/>
      <c r="J8" s="63"/>
      <c r="K8" s="64"/>
      <c r="L8" s="40">
        <f t="shared" ref="L8:L37" si="1">(G8-F8)+(I8-H8)+(K8-J8)+SUM(AB8,AC8,AD8,AE8,AF8,AG8)</f>
        <v>0</v>
      </c>
      <c r="M8" s="65">
        <f>L8+M3+IF(Aou!$F$48="Non",Aou!M38,0)</f>
        <v>0</v>
      </c>
      <c r="N8" s="66">
        <f>IF(AND(D8&lt;&gt;"Jour libre 4/5",B8&lt;&gt;"Sa",B8&lt;&gt;"Di"),SUM(N7,Configuration!$H$41),SUM(N7))+IF(Aou!F48="Non",Aou!N38,0)</f>
        <v>0</v>
      </c>
      <c r="O8" s="48" t="str">
        <f>IF(M8-N8-$M$4&gt;=0,"+","-")</f>
        <v>+</v>
      </c>
      <c r="P8" s="67">
        <f>ABS(M8-N8-$M$4)</f>
        <v>0</v>
      </c>
      <c r="Q8" s="164">
        <f>AO8</f>
        <v>0</v>
      </c>
      <c r="R8" s="165">
        <f>AP8</f>
        <v>0</v>
      </c>
      <c r="S8" s="165">
        <f>AQ8</f>
        <v>0</v>
      </c>
      <c r="T8" s="166">
        <f>AR8</f>
        <v>0</v>
      </c>
      <c r="U8" s="93">
        <f t="shared" ref="U8:U37" si="2">IF(OR(AND(D8="Jour férié semaine",((G8-F8)+(I8-H8)+(K8-J8&gt;0))),B8="Sa",B8="Di"),L8,0)</f>
        <v>0</v>
      </c>
      <c r="V8" s="93">
        <f t="shared" ref="V8:V37" si="3">IF($R$2="Oui",AM8,0)</f>
        <v>0</v>
      </c>
      <c r="W8" s="93">
        <f t="shared" ref="W8:W37" si="4">IF($R$2="Oui",AN8,0)</f>
        <v>0</v>
      </c>
      <c r="X8" s="93">
        <f t="shared" ref="X8:X37" si="5">IF($R$3="Oui",AJ8,0)</f>
        <v>0</v>
      </c>
      <c r="Y8" s="209"/>
      <c r="Z8" s="210"/>
      <c r="AA8" s="210"/>
      <c r="AB8" s="128">
        <f>IF(AND(D8="Jour férié semaine",((G8-F8)+(I8-H8)+(K8-J8)=0)),VLOOKUP(D8,Systeemgegevens!$J:$K,2,FALSE),0)</f>
        <v>0</v>
      </c>
      <c r="AC8" s="43">
        <f>IF(AND(NOT(ISERROR(FIND("Congé",D8))),ISERROR(FIND("1/2",D8)),ISERROR(FIND("Synd",D8)),ISERROR(FIND("synd",D8)),(G8-F8+I8-H8+K8-J8)=0),VLOOKUP(D8,Systeemgegevens!$J:$K,2,FALSE),IF(AND(NOT(ISERROR(FIND("1/2 Congé + ",D8))),(G8-F8+I8-H8+K8-J8)=0),VLOOKUP(D8,Systeemgegevens!$J:$K,2,FALSE)/2,IF(AND(NOT(ISERROR(FIND("1/2 Congé",D8))),ISERROR(FIND(" + ",D8)),ISERROR(FIND("1/2 Congé Synd.",D8))),VLOOKUP(D8,Systeemgegevens!$J:$K,2,FALSE),0)))</f>
        <v>0</v>
      </c>
      <c r="AD8" s="43">
        <f>IF(AND(OR(D8="1/2 Congé Synd.",D8="Congé Synd."),((G8-F8)+(I8-H8)+(K8-J8)=0)),VLOOKUP(D8,Systeemgegevens!$J:$K,2,FALSE),IF(AND(D8="1/2 Congé + 1/2 synd.",((G8-F8)+(I8-H8)+(K8-J8)=0)),AC8,0))</f>
        <v>0</v>
      </c>
      <c r="AE8" s="43">
        <f>IF(AND(D8="Jour de pont",((G8-F8)+(I8-H8)+(K8-J8)=0)),VLOOKUP(D8,Systeemgegevens!$J:$K,2,FALSE),0)</f>
        <v>0</v>
      </c>
      <c r="AF8" s="43">
        <f>IF(AND(D8="Jour libre 4/5",AND((G8-F8)+(I8-H8)+(K8-J8)=0)),VLOOKUP(D8,Systeemgegevens!$J:$K,2,FALSE),0)</f>
        <v>0</v>
      </c>
      <c r="AG8" s="118">
        <f>IF(AND(D8&lt;&gt;"",SUM(AB8:AF8)=0,D8&lt;&gt;$AB$4,D8&lt;&gt;$AC$4,D8&lt;&gt;$AD$4,D8&lt;&gt;$AE$4,D8&lt;&gt;$AF$4),VLOOKUP(D8,Systeemgegevens!$J:$K,2,FALSE),0)</f>
        <v>0</v>
      </c>
      <c r="AH8" s="119">
        <f t="shared" ref="AH8:AH37" si="6">SUM(IF(AND(G8&gt;$AH$6,F8&lt;=$AH$6),G8-$AH$6,0),IF(F8&gt;$AH$6,G8-F8,0),IF(AND(I8&gt;$AH$6,H8&lt;=$AH$6),I8-$AH$6,0),IF(H8&gt;$AH$6,I8-H8,0),IF(AND(K8&gt;$AH$6,J8&lt;=$AH$6),K8-$AH$6,0),IF(J8&gt;$AH$6,K8-J8,0))</f>
        <v>0</v>
      </c>
      <c r="AI8" s="101">
        <f t="shared" ref="AI8:AI37" si="7">SUM(IF(AND(G8&gt;=$AI$7,F8&lt;$AI$7),$AI$7-F8,0),IF(G8&lt;$AI$7,G8-F8,0),IF(AND(I8&gt;=$AI$7,H8&lt;$AI$7),$AI$7-H8,0),IF(I8&lt;$AI$7,I8-H8,0),IF(AND(K8&gt;=$AI$7,J8&lt;$AI$7),$AI$7-J8,0),IF(K8&lt;$AI$7,K8-J8,0))</f>
        <v>0</v>
      </c>
      <c r="AJ8" s="118">
        <f>SUM(AH8:AI8)</f>
        <v>0</v>
      </c>
      <c r="AK8" s="119">
        <f t="shared" ref="AK8:AK37" si="8">SUM(IF(AND(G8&gt;$AK$6,F8&lt;=$AK$6),G8-$AK$6,0),IF(F8&gt;$AK$6,G8-F8,0),IF(AND(I8&gt;$AK$6,H8&lt;=$AK$6),I8-$AK$6,0),IF(H8&gt;$AK$6,I8-H8,0),IF(AND(K8&gt;$AK$6,J8&lt;=$AK$6),K8-$AK$6,0),IF(J8&gt;$AK$6,K8-J8,0))</f>
        <v>0</v>
      </c>
      <c r="AL8" s="101">
        <f t="shared" ref="AL8:AL37" si="9">SUM(IF(AND(G8&gt;=$AL$7,F8&lt;$AL$7),$AL$7-F8,0),IF(G8&lt;$AL$7,G8-F8,0),IF(AND(I8&gt;=$AL$7,H8&lt;$AL$7),$AL$7-H8,0),IF(I8&lt;$AL$7,I8-H8,0),IF(AND(K8&gt;=$AL$7,J8&lt;$AL$7),$AL$7-J8,0),IF(K8&lt;$AL$7,K8-J8,0))</f>
        <v>0</v>
      </c>
      <c r="AM8" s="43">
        <f>AH8-AK8</f>
        <v>0</v>
      </c>
      <c r="AN8" s="118">
        <f>AK8+AL8</f>
        <v>0</v>
      </c>
      <c r="AO8" s="122">
        <f t="shared" ref="AO8:AO37" si="10">SUM(IF(AND(F8&lt;=$AO$6,G8&gt;=$AO$7),1,0),IF(AND(H8&lt;=$AO$6,I8&gt;=$AO$7),1,0),IF(AND(J8&lt;=$AO$6,K8&gt;=$AO$7),1,0))</f>
        <v>0</v>
      </c>
      <c r="AP8" s="107">
        <f t="shared" ref="AP8:AP37" si="11">SUM(IF(AND(F8&lt;=$AP$6,G8&gt;=$AP$7),1,0),IF(AND(H8&lt;=$AP$6,I8&gt;=$AP$7),1,0),IF(AND(J8&lt;=$AP$6,K8&gt;=$AP$7),1,0))</f>
        <v>0</v>
      </c>
      <c r="AQ8" s="107">
        <f t="shared" ref="AQ8:AQ37" si="12">SUM(IF(AND(F8&lt;=$AQ$6,G8&gt;=$AQ$7),1,0),IF(AND(H8&lt;=$AQ$6,I8&gt;=$AQ$7),1,0),IF(AND(J8&lt;=$AQ$6,K8&gt;=$AQ$7),1,0))</f>
        <v>0</v>
      </c>
      <c r="AR8" s="123">
        <f t="shared" ref="AR8:AR37" si="13">SUM(IF(AND(F8&lt;=$AR$6,G8&gt;=$AR$7),1,0),IF(AND(H8&lt;=$AR$6,I8&gt;=$AR$7),1,0),IF(AND(J8&lt;=$AR$6,K8&gt;=$AR$7),1,0))</f>
        <v>0</v>
      </c>
      <c r="AS8" s="124">
        <f t="shared" ref="AS8:AS37" si="14">IF(OR(E8="M",E8="ME"),1,0)</f>
        <v>0</v>
      </c>
      <c r="AT8" s="124">
        <f t="shared" ref="AT8:AT37" si="15">IF(OR(E8="E",E8="ME"),1,0)</f>
        <v>0</v>
      </c>
      <c r="AU8" s="124">
        <f t="shared" ref="AU8:AU37" si="16">IF(AND(OR(D8="Jour férié semaine",D8="Jour de pont"),((G8-F8)+(I8-H8)+(K8-J8)&gt;0)),1,0)</f>
        <v>0</v>
      </c>
      <c r="AV8" s="117" t="s">
        <v>36</v>
      </c>
      <c r="AW8" s="129">
        <f>IF(($R$40=AV8)*AND($R$41&lt;&gt;""),VLOOKUP($R$41,'Barèmes police'!$B$4:$C$30,2),0)</f>
        <v>14703.88</v>
      </c>
      <c r="AX8" s="15"/>
      <c r="AY8" s="14"/>
      <c r="AZ8" s="269"/>
      <c r="BA8" s="154"/>
      <c r="BB8" s="154"/>
      <c r="BC8" s="154"/>
      <c r="BD8" s="154"/>
      <c r="BE8" s="154"/>
      <c r="BF8" s="154"/>
    </row>
    <row r="9" spans="1:58" ht="12.75" customHeight="1" x14ac:dyDescent="0.2">
      <c r="A9" s="34"/>
      <c r="B9" s="24" t="str">
        <f t="shared" si="0"/>
        <v>Lu</v>
      </c>
      <c r="C9" s="25">
        <f>C8+1</f>
        <v>45537</v>
      </c>
      <c r="D9" s="51"/>
      <c r="E9" s="116"/>
      <c r="F9" s="52"/>
      <c r="G9" s="53"/>
      <c r="H9" s="52"/>
      <c r="I9" s="53"/>
      <c r="J9" s="54"/>
      <c r="K9" s="55"/>
      <c r="L9" s="40">
        <f t="shared" si="1"/>
        <v>0</v>
      </c>
      <c r="M9" s="41">
        <f>M8+L9</f>
        <v>0</v>
      </c>
      <c r="N9" s="42">
        <f>IF(AND(D9&lt;&gt;"Jour libre 4/5",B9&lt;&gt;"Sa",B9&lt;&gt;"Di"),SUM(N8,Configuration!$H$41),SUM(N8))</f>
        <v>0.31666666666666665</v>
      </c>
      <c r="O9" s="49" t="str">
        <f>IF(M9-N9-$M$4&gt;=0,"+","-")</f>
        <v>-</v>
      </c>
      <c r="P9" s="143">
        <f t="shared" ref="P9:P37" si="17">ABS(M9-N9-$M$4)</f>
        <v>0.31666666666666665</v>
      </c>
      <c r="Q9" s="167">
        <f t="shared" ref="Q9:T37" si="18">AO9</f>
        <v>0</v>
      </c>
      <c r="R9" s="168">
        <f t="shared" si="18"/>
        <v>0</v>
      </c>
      <c r="S9" s="168">
        <f t="shared" si="18"/>
        <v>0</v>
      </c>
      <c r="T9" s="169">
        <f t="shared" si="18"/>
        <v>0</v>
      </c>
      <c r="U9" s="97">
        <f t="shared" si="2"/>
        <v>0</v>
      </c>
      <c r="V9" s="97">
        <f t="shared" si="3"/>
        <v>0</v>
      </c>
      <c r="W9" s="97">
        <f t="shared" si="4"/>
        <v>0</v>
      </c>
      <c r="X9" s="97">
        <f t="shared" si="5"/>
        <v>0</v>
      </c>
      <c r="Y9" s="209"/>
      <c r="Z9" s="210"/>
      <c r="AA9" s="210"/>
      <c r="AB9" s="128">
        <f>IF(AND(D9="Jour férié semaine",((G9-F9)+(I9-H9)+(K9-J9)=0)),VLOOKUP(D9,Systeemgegevens!$J:$K,2,FALSE),0)</f>
        <v>0</v>
      </c>
      <c r="AC9" s="43">
        <f>IF(AND(NOT(ISERROR(FIND("Congé",D9))),ISERROR(FIND("1/2",D9)),ISERROR(FIND("Synd",D9)),ISERROR(FIND("synd",D9)),(G9-F9+I9-H9+K9-J9)=0),VLOOKUP(D9,Systeemgegevens!$J:$K,2,FALSE),IF(AND(NOT(ISERROR(FIND("1/2 Congé + ",D9))),(G9-F9+I9-H9+K9-J9)=0),VLOOKUP(D9,Systeemgegevens!$J:$K,2,FALSE)/2,IF(AND(NOT(ISERROR(FIND("1/2 Congé",D9))),ISERROR(FIND(" + ",D9)),ISERROR(FIND("1/2 Congé Synd.",D9))),VLOOKUP(D9,Systeemgegevens!$J:$K,2,FALSE),0)))</f>
        <v>0</v>
      </c>
      <c r="AD9" s="43">
        <f>IF(AND(OR(D9="1/2 Congé Synd.",D9="Congé Synd."),((G9-F9)+(I9-H9)+(K9-J9)=0)),VLOOKUP(D9,Systeemgegevens!$J:$K,2,FALSE),IF(AND(D9="1/2 Congé + 1/2 synd.",((G9-F9)+(I9-H9)+(K9-J9)=0)),AC9,0))</f>
        <v>0</v>
      </c>
      <c r="AE9" s="43">
        <f>IF(AND(D9="Jour de pont",((G9-F9)+(I9-H9)+(K9-J9)=0)),VLOOKUP(D9,Systeemgegevens!$J:$K,2,FALSE),0)</f>
        <v>0</v>
      </c>
      <c r="AF9" s="43">
        <f>IF(AND(D9="Jour libre 4/5",AND((G9-F9)+(I9-H9)+(K9-J9)=0)),VLOOKUP(D9,Systeemgegevens!$J:$K,2,FALSE),0)</f>
        <v>0</v>
      </c>
      <c r="AG9" s="118">
        <f>IF(AND(D9&lt;&gt;"",SUM(AB9:AF9)=0,D9&lt;&gt;$AB$4,D9&lt;&gt;$AC$4,D9&lt;&gt;$AE$4,D9&lt;&gt;$AF$4),VLOOKUP(D9,Systeemgegevens!$J:$K,2,FALSE),0)</f>
        <v>0</v>
      </c>
      <c r="AH9" s="119">
        <f t="shared" si="6"/>
        <v>0</v>
      </c>
      <c r="AI9" s="101">
        <f t="shared" si="7"/>
        <v>0</v>
      </c>
      <c r="AJ9" s="118">
        <f t="shared" ref="AJ9:AJ37" si="19">SUM(AH9:AI9)</f>
        <v>0</v>
      </c>
      <c r="AK9" s="119">
        <f t="shared" si="8"/>
        <v>0</v>
      </c>
      <c r="AL9" s="101">
        <f t="shared" si="9"/>
        <v>0</v>
      </c>
      <c r="AM9" s="43">
        <f t="shared" ref="AM9:AM37" si="20">AH9-AK9</f>
        <v>0</v>
      </c>
      <c r="AN9" s="118">
        <f t="shared" ref="AN9:AN37" si="21">AK9+AL9</f>
        <v>0</v>
      </c>
      <c r="AO9" s="122">
        <f t="shared" si="10"/>
        <v>0</v>
      </c>
      <c r="AP9" s="107">
        <f t="shared" si="11"/>
        <v>0</v>
      </c>
      <c r="AQ9" s="107">
        <f t="shared" si="12"/>
        <v>0</v>
      </c>
      <c r="AR9" s="123">
        <f t="shared" si="13"/>
        <v>0</v>
      </c>
      <c r="AS9" s="124">
        <f t="shared" si="14"/>
        <v>0</v>
      </c>
      <c r="AT9" s="124">
        <f t="shared" si="15"/>
        <v>0</v>
      </c>
      <c r="AU9" s="124">
        <f t="shared" si="16"/>
        <v>0</v>
      </c>
      <c r="AV9" s="117" t="s">
        <v>35</v>
      </c>
      <c r="AW9" s="129">
        <f>IF(($R$40=AV9)*AND($R$41&lt;&gt;""),VLOOKUP($R$41,'Barèmes police'!$E$4:$F$30,2),0)</f>
        <v>0</v>
      </c>
      <c r="AX9" s="16" t="str">
        <f>IF('Types de jours'!F15&lt;&gt;"",'Types de jours'!F15,"")</f>
        <v>Congé</v>
      </c>
      <c r="AY9" s="144">
        <f>IF(AX9&lt;&gt;"",'Types de jours'!I15,"")</f>
        <v>0.31666666666666665</v>
      </c>
      <c r="AZ9" s="269"/>
      <c r="BA9" s="154"/>
      <c r="BB9" s="154"/>
      <c r="BC9" s="154"/>
      <c r="BD9" s="154"/>
      <c r="BE9" s="154"/>
      <c r="BF9" s="154"/>
    </row>
    <row r="10" spans="1:58" ht="12.75" customHeight="1" x14ac:dyDescent="0.2">
      <c r="A10" s="34"/>
      <c r="B10" s="24" t="str">
        <f t="shared" si="0"/>
        <v>Ma</v>
      </c>
      <c r="C10" s="25">
        <f t="shared" ref="C10:C37" si="22">C9+1</f>
        <v>45538</v>
      </c>
      <c r="D10" s="51"/>
      <c r="E10" s="116"/>
      <c r="F10" s="52"/>
      <c r="G10" s="53"/>
      <c r="H10" s="52"/>
      <c r="I10" s="53"/>
      <c r="J10" s="54"/>
      <c r="K10" s="55"/>
      <c r="L10" s="40">
        <f t="shared" si="1"/>
        <v>0</v>
      </c>
      <c r="M10" s="41">
        <f t="shared" ref="M10:M37" si="23">M9+L10</f>
        <v>0</v>
      </c>
      <c r="N10" s="42">
        <f>IF(AND(D10&lt;&gt;"Jour libre 4/5",B10&lt;&gt;"Sa",B10&lt;&gt;"Di"),SUM(N9,Configuration!$H$41),SUM(N9))</f>
        <v>0.6333333333333333</v>
      </c>
      <c r="O10" s="49" t="str">
        <f t="shared" ref="O10:O37" si="24">IF(M10-N10-$M$4&gt;=0,"+","-")</f>
        <v>-</v>
      </c>
      <c r="P10" s="143">
        <f t="shared" si="17"/>
        <v>0.6333333333333333</v>
      </c>
      <c r="Q10" s="167">
        <f t="shared" si="18"/>
        <v>0</v>
      </c>
      <c r="R10" s="168">
        <f t="shared" si="18"/>
        <v>0</v>
      </c>
      <c r="S10" s="168">
        <f t="shared" si="18"/>
        <v>0</v>
      </c>
      <c r="T10" s="169">
        <f t="shared" si="18"/>
        <v>0</v>
      </c>
      <c r="U10" s="97">
        <f t="shared" si="2"/>
        <v>0</v>
      </c>
      <c r="V10" s="97">
        <f t="shared" si="3"/>
        <v>0</v>
      </c>
      <c r="W10" s="97">
        <f t="shared" si="4"/>
        <v>0</v>
      </c>
      <c r="X10" s="97">
        <f t="shared" si="5"/>
        <v>0</v>
      </c>
      <c r="Y10" s="209"/>
      <c r="Z10" s="210"/>
      <c r="AA10" s="210"/>
      <c r="AB10" s="128">
        <f>IF(AND(D10="Jour férié semaine",((G10-F10)+(I10-H10)+(K10-J10)=0)),VLOOKUP(D10,Systeemgegevens!$J:$K,2,FALSE),0)</f>
        <v>0</v>
      </c>
      <c r="AC10" s="43">
        <f>IF(AND(NOT(ISERROR(FIND("Congé",D10))),ISERROR(FIND("1/2",D10)),ISERROR(FIND("Synd",D10)),ISERROR(FIND("synd",D10)),(G10-F10+I10-H10+K10-J10)=0),VLOOKUP(D10,Systeemgegevens!$J:$K,2,FALSE),IF(AND(NOT(ISERROR(FIND("1/2 Congé + ",D10))),(G10-F10+I10-H10+K10-J10)=0),VLOOKUP(D10,Systeemgegevens!$J:$K,2,FALSE)/2,IF(AND(NOT(ISERROR(FIND("1/2 Congé",D10))),ISERROR(FIND(" + ",D10)),ISERROR(FIND("1/2 Congé Synd.",D10))),VLOOKUP(D10,Systeemgegevens!$J:$K,2,FALSE),0)))</f>
        <v>0</v>
      </c>
      <c r="AD10" s="43">
        <f>IF(AND(OR(D10="1/2 Congé Synd.",D10="Congé Synd."),((G10-F10)+(I10-H10)+(K10-J10)=0)),VLOOKUP(D10,Systeemgegevens!$J:$K,2,FALSE),IF(AND(D10="1/2 Congé + 1/2 synd.",((G10-F10)+(I10-H10)+(K10-J10)=0)),AC10,0))</f>
        <v>0</v>
      </c>
      <c r="AE10" s="43">
        <f>IF(AND(D10="Jour de pont",((G10-F10)+(I10-H10)+(K10-J10)=0)),VLOOKUP(D10,Systeemgegevens!$J:$K,2,FALSE),0)</f>
        <v>0</v>
      </c>
      <c r="AF10" s="43">
        <f>IF(AND(D10="Jour libre 4/5",AND((G10-F10)+(I10-H10)+(K10-J10)=0)),VLOOKUP(D10,Systeemgegevens!$J:$K,2,FALSE),0)</f>
        <v>0</v>
      </c>
      <c r="AG10" s="118">
        <f>IF(AND(D10&lt;&gt;"",SUM(AB10:AF10)=0,D10&lt;&gt;$AB$4,D10&lt;&gt;$AC$4,D10&lt;&gt;$AE$4,D10&lt;&gt;$AF$4),VLOOKUP(D10,Systeemgegevens!$J:$K,2,FALSE),0)</f>
        <v>0</v>
      </c>
      <c r="AH10" s="119">
        <f t="shared" si="6"/>
        <v>0</v>
      </c>
      <c r="AI10" s="101">
        <f t="shared" si="7"/>
        <v>0</v>
      </c>
      <c r="AJ10" s="118">
        <f t="shared" si="19"/>
        <v>0</v>
      </c>
      <c r="AK10" s="119">
        <f t="shared" si="8"/>
        <v>0</v>
      </c>
      <c r="AL10" s="101">
        <f t="shared" si="9"/>
        <v>0</v>
      </c>
      <c r="AM10" s="43">
        <f t="shared" si="20"/>
        <v>0</v>
      </c>
      <c r="AN10" s="118">
        <f t="shared" si="21"/>
        <v>0</v>
      </c>
      <c r="AO10" s="122">
        <f t="shared" si="10"/>
        <v>0</v>
      </c>
      <c r="AP10" s="107">
        <f t="shared" si="11"/>
        <v>0</v>
      </c>
      <c r="AQ10" s="107">
        <f t="shared" si="12"/>
        <v>0</v>
      </c>
      <c r="AR10" s="123">
        <f t="shared" si="13"/>
        <v>0</v>
      </c>
      <c r="AS10" s="124">
        <f t="shared" si="14"/>
        <v>0</v>
      </c>
      <c r="AT10" s="124">
        <f t="shared" si="15"/>
        <v>0</v>
      </c>
      <c r="AU10" s="124">
        <f t="shared" si="16"/>
        <v>0</v>
      </c>
      <c r="AV10" s="117" t="s">
        <v>34</v>
      </c>
      <c r="AW10" s="129">
        <f>IF(($R$40=AV10)*AND($R$41&lt;&gt;""),VLOOKUP($R$41,'Barèmes police'!$H$4:$I$30,2),0)</f>
        <v>0</v>
      </c>
      <c r="AX10" s="16" t="str">
        <f>IF('Types de jours'!F16&lt;&gt;"",'Types de jours'!F16,"")</f>
        <v>1/2 Congé</v>
      </c>
      <c r="AY10" s="144">
        <f>IF(AX10&lt;&gt;"",'Types de jours'!I16,"")</f>
        <v>0.15833333333333333</v>
      </c>
      <c r="AZ10" s="269"/>
      <c r="BA10" s="154"/>
      <c r="BB10" s="154"/>
      <c r="BC10" s="154"/>
      <c r="BD10" s="154"/>
      <c r="BE10" s="154"/>
      <c r="BF10" s="154"/>
    </row>
    <row r="11" spans="1:58" ht="12.75" customHeight="1" x14ac:dyDescent="0.2">
      <c r="A11" s="34"/>
      <c r="B11" s="24" t="str">
        <f t="shared" si="0"/>
        <v>Me</v>
      </c>
      <c r="C11" s="25">
        <f t="shared" si="22"/>
        <v>45539</v>
      </c>
      <c r="D11" s="51"/>
      <c r="E11" s="116"/>
      <c r="F11" s="52"/>
      <c r="G11" s="53"/>
      <c r="H11" s="52"/>
      <c r="I11" s="53"/>
      <c r="J11" s="54"/>
      <c r="K11" s="55"/>
      <c r="L11" s="40">
        <f t="shared" si="1"/>
        <v>0</v>
      </c>
      <c r="M11" s="41">
        <f t="shared" si="23"/>
        <v>0</v>
      </c>
      <c r="N11" s="42">
        <f>IF(AND(D11&lt;&gt;"Jour libre 4/5",B11&lt;&gt;"Sa",B11&lt;&gt;"Di"),SUM(N10,Configuration!$H$41),SUM(N10))</f>
        <v>0.95</v>
      </c>
      <c r="O11" s="49" t="str">
        <f t="shared" si="24"/>
        <v>-</v>
      </c>
      <c r="P11" s="143">
        <f t="shared" si="17"/>
        <v>0.95</v>
      </c>
      <c r="Q11" s="167">
        <f t="shared" si="18"/>
        <v>0</v>
      </c>
      <c r="R11" s="168">
        <f t="shared" si="18"/>
        <v>0</v>
      </c>
      <c r="S11" s="168">
        <f t="shared" si="18"/>
        <v>0</v>
      </c>
      <c r="T11" s="169">
        <f t="shared" si="18"/>
        <v>0</v>
      </c>
      <c r="U11" s="97">
        <f t="shared" si="2"/>
        <v>0</v>
      </c>
      <c r="V11" s="97">
        <f t="shared" si="3"/>
        <v>0</v>
      </c>
      <c r="W11" s="97">
        <f t="shared" si="4"/>
        <v>0</v>
      </c>
      <c r="X11" s="97">
        <f t="shared" si="5"/>
        <v>0</v>
      </c>
      <c r="Y11" s="209"/>
      <c r="Z11" s="210"/>
      <c r="AA11" s="210"/>
      <c r="AB11" s="128">
        <f>IF(AND(D11="Jour férié semaine",((G11-F11)+(I11-H11)+(K11-J11)=0)),VLOOKUP(D11,Systeemgegevens!$J:$K,2,FALSE),0)</f>
        <v>0</v>
      </c>
      <c r="AC11" s="43">
        <f>IF(AND(NOT(ISERROR(FIND("Congé",D11))),ISERROR(FIND("1/2",D11)),ISERROR(FIND("Synd",D11)),ISERROR(FIND("synd",D11)),(G11-F11+I11-H11+K11-J11)=0),VLOOKUP(D11,Systeemgegevens!$J:$K,2,FALSE),IF(AND(NOT(ISERROR(FIND("1/2 Congé + ",D11))),(G11-F11+I11-H11+K11-J11)=0),VLOOKUP(D11,Systeemgegevens!$J:$K,2,FALSE)/2,IF(AND(NOT(ISERROR(FIND("1/2 Congé",D11))),ISERROR(FIND(" + ",D11)),ISERROR(FIND("1/2 Congé Synd.",D11))),VLOOKUP(D11,Systeemgegevens!$J:$K,2,FALSE),0)))</f>
        <v>0</v>
      </c>
      <c r="AD11" s="43">
        <f>IF(AND(OR(D11="1/2 Congé Synd.",D11="Congé Synd."),((G11-F11)+(I11-H11)+(K11-J11)=0)),VLOOKUP(D11,Systeemgegevens!$J:$K,2,FALSE),IF(AND(D11="1/2 Congé + 1/2 synd.",((G11-F11)+(I11-H11)+(K11-J11)=0)),AC11,0))</f>
        <v>0</v>
      </c>
      <c r="AE11" s="43">
        <f>IF(AND(D11="Jour de pont",((G11-F11)+(I11-H11)+(K11-J11)=0)),VLOOKUP(D11,Systeemgegevens!$J:$K,2,FALSE),0)</f>
        <v>0</v>
      </c>
      <c r="AF11" s="43">
        <f>IF(AND(D11="Jour libre 4/5",AND((G11-F11)+(I11-H11)+(K11-J11)=0)),VLOOKUP(D11,Systeemgegevens!$J:$K,2,FALSE),0)</f>
        <v>0</v>
      </c>
      <c r="AG11" s="118">
        <f>IF(AND(D11&lt;&gt;"",SUM(AB11:AF11)=0,D11&lt;&gt;$AB$4,D11&lt;&gt;$AC$4,D11&lt;&gt;$AE$4,D11&lt;&gt;$AF$4),VLOOKUP(D11,Systeemgegevens!$J:$K,2,FALSE),0)</f>
        <v>0</v>
      </c>
      <c r="AH11" s="119">
        <f t="shared" si="6"/>
        <v>0</v>
      </c>
      <c r="AI11" s="101">
        <f t="shared" si="7"/>
        <v>0</v>
      </c>
      <c r="AJ11" s="118">
        <f t="shared" si="19"/>
        <v>0</v>
      </c>
      <c r="AK11" s="119">
        <f t="shared" si="8"/>
        <v>0</v>
      </c>
      <c r="AL11" s="101">
        <f t="shared" si="9"/>
        <v>0</v>
      </c>
      <c r="AM11" s="43">
        <f t="shared" si="20"/>
        <v>0</v>
      </c>
      <c r="AN11" s="118">
        <f t="shared" si="21"/>
        <v>0</v>
      </c>
      <c r="AO11" s="122">
        <f t="shared" si="10"/>
        <v>0</v>
      </c>
      <c r="AP11" s="107">
        <f t="shared" si="11"/>
        <v>0</v>
      </c>
      <c r="AQ11" s="107">
        <f t="shared" si="12"/>
        <v>0</v>
      </c>
      <c r="AR11" s="123">
        <f t="shared" si="13"/>
        <v>0</v>
      </c>
      <c r="AS11" s="124">
        <f t="shared" si="14"/>
        <v>0</v>
      </c>
      <c r="AT11" s="124">
        <f t="shared" si="15"/>
        <v>0</v>
      </c>
      <c r="AU11" s="124">
        <f t="shared" si="16"/>
        <v>0</v>
      </c>
      <c r="AV11" s="117" t="s">
        <v>268</v>
      </c>
      <c r="AW11" s="129">
        <f>IF(($R$40=AV11)*AND($R$41&lt;&gt;""),VLOOKUP($R$41,'Barèmes police'!$K$4:$L$30,2),0)</f>
        <v>0</v>
      </c>
      <c r="AX11" s="16" t="str">
        <f>IF('Types de jours'!F17&lt;&gt;"",'Types de jours'!F17,"")</f>
        <v>Malade</v>
      </c>
      <c r="AY11" s="144">
        <f>IF(AX11&lt;&gt;"",'Types de jours'!I17,"")</f>
        <v>0.31666666666666665</v>
      </c>
      <c r="AZ11" s="269"/>
      <c r="BA11" s="154"/>
      <c r="BB11" s="154"/>
      <c r="BC11" s="154"/>
      <c r="BD11" s="154"/>
      <c r="BE11" s="154"/>
      <c r="BF11" s="154"/>
    </row>
    <row r="12" spans="1:58" ht="12.75" customHeight="1" x14ac:dyDescent="0.2">
      <c r="A12" s="34"/>
      <c r="B12" s="24" t="str">
        <f t="shared" si="0"/>
        <v>Je</v>
      </c>
      <c r="C12" s="25">
        <f t="shared" si="22"/>
        <v>45540</v>
      </c>
      <c r="D12" s="51"/>
      <c r="E12" s="116"/>
      <c r="F12" s="52"/>
      <c r="G12" s="53"/>
      <c r="H12" s="52"/>
      <c r="I12" s="53"/>
      <c r="J12" s="54"/>
      <c r="K12" s="55"/>
      <c r="L12" s="40">
        <f t="shared" si="1"/>
        <v>0</v>
      </c>
      <c r="M12" s="41">
        <f t="shared" si="23"/>
        <v>0</v>
      </c>
      <c r="N12" s="42">
        <f>IF(AND(D12&lt;&gt;"Jour libre 4/5",B12&lt;&gt;"Sa",B12&lt;&gt;"Di"),SUM(N11,Configuration!$H$41),SUM(N11))</f>
        <v>1.2666666666666666</v>
      </c>
      <c r="O12" s="49" t="str">
        <f t="shared" si="24"/>
        <v>-</v>
      </c>
      <c r="P12" s="143">
        <f t="shared" si="17"/>
        <v>1.2666666666666666</v>
      </c>
      <c r="Q12" s="167">
        <f t="shared" si="18"/>
        <v>0</v>
      </c>
      <c r="R12" s="168">
        <f t="shared" si="18"/>
        <v>0</v>
      </c>
      <c r="S12" s="168">
        <f t="shared" si="18"/>
        <v>0</v>
      </c>
      <c r="T12" s="169">
        <f t="shared" si="18"/>
        <v>0</v>
      </c>
      <c r="U12" s="97">
        <f t="shared" si="2"/>
        <v>0</v>
      </c>
      <c r="V12" s="97">
        <f t="shared" si="3"/>
        <v>0</v>
      </c>
      <c r="W12" s="97">
        <f t="shared" si="4"/>
        <v>0</v>
      </c>
      <c r="X12" s="97">
        <f t="shared" si="5"/>
        <v>0</v>
      </c>
      <c r="Y12" s="209"/>
      <c r="Z12" s="210"/>
      <c r="AA12" s="210"/>
      <c r="AB12" s="128">
        <f>IF(AND(D12="Jour férié semaine",((G12-F12)+(I12-H12)+(K12-J12)=0)),VLOOKUP(D12,Systeemgegevens!$J:$K,2,FALSE),0)</f>
        <v>0</v>
      </c>
      <c r="AC12" s="43">
        <f>IF(AND(NOT(ISERROR(FIND("Congé",D12))),ISERROR(FIND("1/2",D12)),ISERROR(FIND("Synd",D12)),ISERROR(FIND("synd",D12)),(G12-F12+I12-H12+K12-J12)=0),VLOOKUP(D12,Systeemgegevens!$J:$K,2,FALSE),IF(AND(NOT(ISERROR(FIND("1/2 Congé + ",D12))),(G12-F12+I12-H12+K12-J12)=0),VLOOKUP(D12,Systeemgegevens!$J:$K,2,FALSE)/2,IF(AND(NOT(ISERROR(FIND("1/2 Congé",D12))),ISERROR(FIND(" + ",D12)),ISERROR(FIND("1/2 Congé Synd.",D12))),VLOOKUP(D12,Systeemgegevens!$J:$K,2,FALSE),0)))</f>
        <v>0</v>
      </c>
      <c r="AD12" s="43">
        <f>IF(AND(OR(D12="1/2 Congé Synd.",D12="Congé Synd."),((G12-F12)+(I12-H12)+(K12-J12)=0)),VLOOKUP(D12,Systeemgegevens!$J:$K,2,FALSE),IF(AND(D12="1/2 Congé + 1/2 synd.",((G12-F12)+(I12-H12)+(K12-J12)=0)),AC12,0))</f>
        <v>0</v>
      </c>
      <c r="AE12" s="43">
        <f>IF(AND(D12="Jour de pont",((G12-F12)+(I12-H12)+(K12-J12)=0)),VLOOKUP(D12,Systeemgegevens!$J:$K,2,FALSE),0)</f>
        <v>0</v>
      </c>
      <c r="AF12" s="43">
        <f>IF(AND(D12="Jour libre 4/5",AND((G12-F12)+(I12-H12)+(K12-J12)=0)),VLOOKUP(D12,Systeemgegevens!$J:$K,2,FALSE),0)</f>
        <v>0</v>
      </c>
      <c r="AG12" s="118">
        <f>IF(AND(D12&lt;&gt;"",SUM(AB12:AF12)=0,D12&lt;&gt;$AB$4,D12&lt;&gt;$AC$4,D12&lt;&gt;$AE$4,D12&lt;&gt;$AF$4),VLOOKUP(D12,Systeemgegevens!$J:$K,2,FALSE),0)</f>
        <v>0</v>
      </c>
      <c r="AH12" s="119">
        <f t="shared" si="6"/>
        <v>0</v>
      </c>
      <c r="AI12" s="101">
        <f t="shared" si="7"/>
        <v>0</v>
      </c>
      <c r="AJ12" s="118">
        <f t="shared" si="19"/>
        <v>0</v>
      </c>
      <c r="AK12" s="119">
        <f t="shared" si="8"/>
        <v>0</v>
      </c>
      <c r="AL12" s="101">
        <f t="shared" si="9"/>
        <v>0</v>
      </c>
      <c r="AM12" s="43">
        <f t="shared" si="20"/>
        <v>0</v>
      </c>
      <c r="AN12" s="118">
        <f t="shared" si="21"/>
        <v>0</v>
      </c>
      <c r="AO12" s="122">
        <f t="shared" si="10"/>
        <v>0</v>
      </c>
      <c r="AP12" s="107">
        <f t="shared" si="11"/>
        <v>0</v>
      </c>
      <c r="AQ12" s="107">
        <f t="shared" si="12"/>
        <v>0</v>
      </c>
      <c r="AR12" s="123">
        <f t="shared" si="13"/>
        <v>0</v>
      </c>
      <c r="AS12" s="124">
        <f t="shared" si="14"/>
        <v>0</v>
      </c>
      <c r="AT12" s="124">
        <f t="shared" si="15"/>
        <v>0</v>
      </c>
      <c r="AU12" s="124">
        <f t="shared" si="16"/>
        <v>0</v>
      </c>
      <c r="AV12" s="117" t="s">
        <v>33</v>
      </c>
      <c r="AW12" s="129">
        <f>IF(($R$40=AV12)*AND($R$41&lt;&gt;""),VLOOKUP($R$41,'Barèmes police'!$N$4:$O$30,2),0)</f>
        <v>0</v>
      </c>
      <c r="AX12" s="16" t="str">
        <f>IF('Types de jours'!F18&lt;&gt;"",'Types de jours'!F18,"")</f>
        <v>Acc. de travail</v>
      </c>
      <c r="AY12" s="144">
        <f>IF(AX12&lt;&gt;"",'Types de jours'!I18,"")</f>
        <v>0.31666666666666665</v>
      </c>
      <c r="AZ12" s="269"/>
      <c r="BA12" s="154"/>
      <c r="BB12" s="154"/>
      <c r="BC12" s="154"/>
      <c r="BD12" s="154"/>
      <c r="BE12" s="154"/>
      <c r="BF12" s="154"/>
    </row>
    <row r="13" spans="1:58" ht="12.75" customHeight="1" x14ac:dyDescent="0.2">
      <c r="A13" s="34"/>
      <c r="B13" s="24" t="str">
        <f t="shared" si="0"/>
        <v>Ve</v>
      </c>
      <c r="C13" s="25">
        <f t="shared" si="22"/>
        <v>45541</v>
      </c>
      <c r="D13" s="51"/>
      <c r="E13" s="116"/>
      <c r="F13" s="52"/>
      <c r="G13" s="53"/>
      <c r="H13" s="52"/>
      <c r="I13" s="53"/>
      <c r="J13" s="54"/>
      <c r="K13" s="55"/>
      <c r="L13" s="40">
        <f t="shared" si="1"/>
        <v>0</v>
      </c>
      <c r="M13" s="41">
        <f t="shared" si="23"/>
        <v>0</v>
      </c>
      <c r="N13" s="42">
        <f>IF(AND(D13&lt;&gt;"Jour libre 4/5",B13&lt;&gt;"Sa",B13&lt;&gt;"Di"),SUM(N12,Configuration!$H$41),SUM(N12))</f>
        <v>1.5833333333333333</v>
      </c>
      <c r="O13" s="49" t="str">
        <f t="shared" si="24"/>
        <v>-</v>
      </c>
      <c r="P13" s="143">
        <f t="shared" si="17"/>
        <v>1.5833333333333333</v>
      </c>
      <c r="Q13" s="167">
        <f t="shared" si="18"/>
        <v>0</v>
      </c>
      <c r="R13" s="168">
        <f t="shared" si="18"/>
        <v>0</v>
      </c>
      <c r="S13" s="168">
        <f t="shared" si="18"/>
        <v>0</v>
      </c>
      <c r="T13" s="169">
        <f t="shared" si="18"/>
        <v>0</v>
      </c>
      <c r="U13" s="97">
        <f t="shared" si="2"/>
        <v>0</v>
      </c>
      <c r="V13" s="97">
        <f t="shared" si="3"/>
        <v>0</v>
      </c>
      <c r="W13" s="97">
        <f t="shared" si="4"/>
        <v>0</v>
      </c>
      <c r="X13" s="97">
        <f t="shared" si="5"/>
        <v>0</v>
      </c>
      <c r="Y13" s="209"/>
      <c r="Z13" s="210"/>
      <c r="AA13" s="210"/>
      <c r="AB13" s="128">
        <f>IF(AND(D13="Jour férié semaine",((G13-F13)+(I13-H13)+(K13-J13)=0)),VLOOKUP(D13,Systeemgegevens!$J:$K,2,FALSE),0)</f>
        <v>0</v>
      </c>
      <c r="AC13" s="43">
        <f>IF(AND(NOT(ISERROR(FIND("Congé",D13))),ISERROR(FIND("1/2",D13)),ISERROR(FIND("Synd",D13)),ISERROR(FIND("synd",D13)),(G13-F13+I13-H13+K13-J13)=0),VLOOKUP(D13,Systeemgegevens!$J:$K,2,FALSE),IF(AND(NOT(ISERROR(FIND("1/2 Congé + ",D13))),(G13-F13+I13-H13+K13-J13)=0),VLOOKUP(D13,Systeemgegevens!$J:$K,2,FALSE)/2,IF(AND(NOT(ISERROR(FIND("1/2 Congé",D13))),ISERROR(FIND(" + ",D13)),ISERROR(FIND("1/2 Congé Synd.",D13))),VLOOKUP(D13,Systeemgegevens!$J:$K,2,FALSE),0)))</f>
        <v>0</v>
      </c>
      <c r="AD13" s="43">
        <f>IF(AND(OR(D13="1/2 Congé Synd.",D13="Congé Synd."),((G13-F13)+(I13-H13)+(K13-J13)=0)),VLOOKUP(D13,Systeemgegevens!$J:$K,2,FALSE),IF(AND(D13="1/2 Congé + 1/2 synd.",((G13-F13)+(I13-H13)+(K13-J13)=0)),AC13,0))</f>
        <v>0</v>
      </c>
      <c r="AE13" s="43">
        <f>IF(AND(D13="Jour de pont",((G13-F13)+(I13-H13)+(K13-J13)=0)),VLOOKUP(D13,Systeemgegevens!$J:$K,2,FALSE),0)</f>
        <v>0</v>
      </c>
      <c r="AF13" s="43">
        <f>IF(AND(D13="Jour libre 4/5",AND((G13-F13)+(I13-H13)+(K13-J13)=0)),VLOOKUP(D13,Systeemgegevens!$J:$K,2,FALSE),0)</f>
        <v>0</v>
      </c>
      <c r="AG13" s="118">
        <f>IF(AND(D13&lt;&gt;"",SUM(AB13:AF13)=0,D13&lt;&gt;$AB$4,D13&lt;&gt;$AC$4,D13&lt;&gt;$AE$4,D13&lt;&gt;$AF$4),VLOOKUP(D13,Systeemgegevens!$J:$K,2,FALSE),0)</f>
        <v>0</v>
      </c>
      <c r="AH13" s="119">
        <f t="shared" si="6"/>
        <v>0</v>
      </c>
      <c r="AI13" s="101">
        <f t="shared" si="7"/>
        <v>0</v>
      </c>
      <c r="AJ13" s="118">
        <f t="shared" si="19"/>
        <v>0</v>
      </c>
      <c r="AK13" s="119">
        <f t="shared" si="8"/>
        <v>0</v>
      </c>
      <c r="AL13" s="101">
        <f t="shared" si="9"/>
        <v>0</v>
      </c>
      <c r="AM13" s="43">
        <f t="shared" si="20"/>
        <v>0</v>
      </c>
      <c r="AN13" s="118">
        <f t="shared" si="21"/>
        <v>0</v>
      </c>
      <c r="AO13" s="122">
        <f t="shared" si="10"/>
        <v>0</v>
      </c>
      <c r="AP13" s="107">
        <f t="shared" si="11"/>
        <v>0</v>
      </c>
      <c r="AQ13" s="107">
        <f t="shared" si="12"/>
        <v>0</v>
      </c>
      <c r="AR13" s="123">
        <f t="shared" si="13"/>
        <v>0</v>
      </c>
      <c r="AS13" s="124">
        <f t="shared" si="14"/>
        <v>0</v>
      </c>
      <c r="AT13" s="124">
        <f t="shared" si="15"/>
        <v>0</v>
      </c>
      <c r="AU13" s="124">
        <f t="shared" si="16"/>
        <v>0</v>
      </c>
      <c r="AV13" s="117" t="s">
        <v>32</v>
      </c>
      <c r="AW13" s="129">
        <f>IF(($R$40=AV13)*AND($R$41&lt;&gt;""),VLOOKUP($R$41,'Barèmes police'!$Q$4:$R$30,2),0)</f>
        <v>0</v>
      </c>
      <c r="AX13" s="16" t="str">
        <f>IF('Types de jours'!F19&lt;&gt;"",'Types de jours'!F19,"")</f>
        <v>Congé Synd.</v>
      </c>
      <c r="AY13" s="144">
        <f>IF(AX13&lt;&gt;"",'Types de jours'!I19,"")</f>
        <v>0.31666666666666665</v>
      </c>
      <c r="AZ13" s="269"/>
      <c r="BA13" s="154"/>
      <c r="BB13" s="154"/>
      <c r="BC13" s="154"/>
      <c r="BD13" s="154"/>
      <c r="BE13" s="154"/>
      <c r="BF13" s="154"/>
    </row>
    <row r="14" spans="1:58" ht="12.75" customHeight="1" x14ac:dyDescent="0.2">
      <c r="A14" s="34"/>
      <c r="B14" s="24" t="str">
        <f t="shared" si="0"/>
        <v>Sa</v>
      </c>
      <c r="C14" s="25">
        <f t="shared" si="22"/>
        <v>45542</v>
      </c>
      <c r="D14" s="51"/>
      <c r="E14" s="116"/>
      <c r="F14" s="52"/>
      <c r="G14" s="53"/>
      <c r="H14" s="52"/>
      <c r="I14" s="53"/>
      <c r="J14" s="54"/>
      <c r="K14" s="55"/>
      <c r="L14" s="40">
        <f t="shared" si="1"/>
        <v>0</v>
      </c>
      <c r="M14" s="41">
        <f t="shared" si="23"/>
        <v>0</v>
      </c>
      <c r="N14" s="42">
        <f>IF(AND(D14&lt;&gt;"Jour libre 4/5",B14&lt;&gt;"Sa",B14&lt;&gt;"Di"),SUM(N13,Configuration!$H$41),SUM(N13))</f>
        <v>1.5833333333333333</v>
      </c>
      <c r="O14" s="49" t="str">
        <f t="shared" si="24"/>
        <v>-</v>
      </c>
      <c r="P14" s="143">
        <f t="shared" si="17"/>
        <v>1.5833333333333333</v>
      </c>
      <c r="Q14" s="167">
        <f t="shared" si="18"/>
        <v>0</v>
      </c>
      <c r="R14" s="168">
        <f t="shared" si="18"/>
        <v>0</v>
      </c>
      <c r="S14" s="168">
        <f t="shared" si="18"/>
        <v>0</v>
      </c>
      <c r="T14" s="169">
        <f t="shared" si="18"/>
        <v>0</v>
      </c>
      <c r="U14" s="97">
        <f t="shared" si="2"/>
        <v>0</v>
      </c>
      <c r="V14" s="97">
        <f t="shared" si="3"/>
        <v>0</v>
      </c>
      <c r="W14" s="97">
        <f t="shared" si="4"/>
        <v>0</v>
      </c>
      <c r="X14" s="97">
        <f t="shared" si="5"/>
        <v>0</v>
      </c>
      <c r="Y14" s="209"/>
      <c r="Z14" s="210"/>
      <c r="AA14" s="210"/>
      <c r="AB14" s="128">
        <f>IF(AND(D14="Jour férié semaine",((G14-F14)+(I14-H14)+(K14-J14)=0)),VLOOKUP(D14,Systeemgegevens!$J:$K,2,FALSE),0)</f>
        <v>0</v>
      </c>
      <c r="AC14" s="43">
        <f>IF(AND(NOT(ISERROR(FIND("Congé",D14))),ISERROR(FIND("1/2",D14)),ISERROR(FIND("Synd",D14)),ISERROR(FIND("synd",D14)),(G14-F14+I14-H14+K14-J14)=0),VLOOKUP(D14,Systeemgegevens!$J:$K,2,FALSE),IF(AND(NOT(ISERROR(FIND("1/2 Congé + ",D14))),(G14-F14+I14-H14+K14-J14)=0),VLOOKUP(D14,Systeemgegevens!$J:$K,2,FALSE)/2,IF(AND(NOT(ISERROR(FIND("1/2 Congé",D14))),ISERROR(FIND(" + ",D14)),ISERROR(FIND("1/2 Congé Synd.",D14))),VLOOKUP(D14,Systeemgegevens!$J:$K,2,FALSE),0)))</f>
        <v>0</v>
      </c>
      <c r="AD14" s="43">
        <f>IF(AND(OR(D14="1/2 Congé Synd.",D14="Congé Synd."),((G14-F14)+(I14-H14)+(K14-J14)=0)),VLOOKUP(D14,Systeemgegevens!$J:$K,2,FALSE),IF(AND(D14="1/2 Congé + 1/2 synd.",((G14-F14)+(I14-H14)+(K14-J14)=0)),AC14,0))</f>
        <v>0</v>
      </c>
      <c r="AE14" s="43">
        <f>IF(AND(D14="Jour de pont",((G14-F14)+(I14-H14)+(K14-J14)=0)),VLOOKUP(D14,Systeemgegevens!$J:$K,2,FALSE),0)</f>
        <v>0</v>
      </c>
      <c r="AF14" s="43">
        <f>IF(AND(D14="Jour libre 4/5",AND((G14-F14)+(I14-H14)+(K14-J14)=0)),VLOOKUP(D14,Systeemgegevens!$J:$K,2,FALSE),0)</f>
        <v>0</v>
      </c>
      <c r="AG14" s="118">
        <f>IF(AND(D14&lt;&gt;"",SUM(AB14:AF14)=0,D14&lt;&gt;$AB$4,D14&lt;&gt;$AC$4,D14&lt;&gt;$AE$4,D14&lt;&gt;$AF$4),VLOOKUP(D14,Systeemgegevens!$J:$K,2,FALSE),0)</f>
        <v>0</v>
      </c>
      <c r="AH14" s="119">
        <f t="shared" si="6"/>
        <v>0</v>
      </c>
      <c r="AI14" s="101">
        <f t="shared" si="7"/>
        <v>0</v>
      </c>
      <c r="AJ14" s="118">
        <f t="shared" si="19"/>
        <v>0</v>
      </c>
      <c r="AK14" s="119">
        <f t="shared" si="8"/>
        <v>0</v>
      </c>
      <c r="AL14" s="101">
        <f t="shared" si="9"/>
        <v>0</v>
      </c>
      <c r="AM14" s="43">
        <f t="shared" si="20"/>
        <v>0</v>
      </c>
      <c r="AN14" s="118">
        <f t="shared" si="21"/>
        <v>0</v>
      </c>
      <c r="AO14" s="122">
        <f t="shared" si="10"/>
        <v>0</v>
      </c>
      <c r="AP14" s="107">
        <f t="shared" si="11"/>
        <v>0</v>
      </c>
      <c r="AQ14" s="107">
        <f t="shared" si="12"/>
        <v>0</v>
      </c>
      <c r="AR14" s="123">
        <f t="shared" si="13"/>
        <v>0</v>
      </c>
      <c r="AS14" s="124">
        <f t="shared" si="14"/>
        <v>0</v>
      </c>
      <c r="AT14" s="124">
        <f t="shared" si="15"/>
        <v>0</v>
      </c>
      <c r="AU14" s="124">
        <f t="shared" si="16"/>
        <v>0</v>
      </c>
      <c r="AV14" s="117" t="s">
        <v>31</v>
      </c>
      <c r="AW14" s="129">
        <f>IF(($R$40=AV14)*AND($R$41&lt;&gt;""),VLOOKUP($R$41,'Barèmes police'!$T$4:$U$30,2),0)</f>
        <v>0</v>
      </c>
      <c r="AX14" s="16" t="str">
        <f>IF('Types de jours'!F20&lt;&gt;"",'Types de jours'!F20,"")</f>
        <v>1/2 Congé Synd.</v>
      </c>
      <c r="AY14" s="144">
        <f>IF(AX14&lt;&gt;"",'Types de jours'!I20,"")</f>
        <v>0.15833333333333333</v>
      </c>
      <c r="AZ14" s="269"/>
      <c r="BA14" s="154"/>
      <c r="BB14" s="154"/>
      <c r="BC14" s="154"/>
      <c r="BD14" s="154"/>
      <c r="BE14" s="154"/>
      <c r="BF14" s="154"/>
    </row>
    <row r="15" spans="1:58" ht="12.75" customHeight="1" x14ac:dyDescent="0.2">
      <c r="A15" s="34"/>
      <c r="B15" s="24" t="str">
        <f t="shared" si="0"/>
        <v>Di</v>
      </c>
      <c r="C15" s="25">
        <f t="shared" si="22"/>
        <v>45543</v>
      </c>
      <c r="D15" s="51"/>
      <c r="E15" s="116"/>
      <c r="F15" s="52"/>
      <c r="G15" s="53"/>
      <c r="H15" s="52"/>
      <c r="I15" s="53"/>
      <c r="J15" s="54"/>
      <c r="K15" s="55"/>
      <c r="L15" s="40">
        <f t="shared" si="1"/>
        <v>0</v>
      </c>
      <c r="M15" s="41">
        <f t="shared" si="23"/>
        <v>0</v>
      </c>
      <c r="N15" s="42">
        <f>IF(AND(D15&lt;&gt;"Jour libre 4/5",B15&lt;&gt;"Sa",B15&lt;&gt;"Di"),SUM(N14,Configuration!$H$41),SUM(N14))</f>
        <v>1.5833333333333333</v>
      </c>
      <c r="O15" s="49" t="str">
        <f t="shared" si="24"/>
        <v>-</v>
      </c>
      <c r="P15" s="143">
        <f t="shared" si="17"/>
        <v>1.5833333333333333</v>
      </c>
      <c r="Q15" s="167">
        <f t="shared" si="18"/>
        <v>0</v>
      </c>
      <c r="R15" s="168">
        <f t="shared" si="18"/>
        <v>0</v>
      </c>
      <c r="S15" s="168">
        <f t="shared" si="18"/>
        <v>0</v>
      </c>
      <c r="T15" s="169">
        <f t="shared" si="18"/>
        <v>0</v>
      </c>
      <c r="U15" s="97">
        <f t="shared" si="2"/>
        <v>0</v>
      </c>
      <c r="V15" s="97">
        <f t="shared" si="3"/>
        <v>0</v>
      </c>
      <c r="W15" s="97">
        <f t="shared" si="4"/>
        <v>0</v>
      </c>
      <c r="X15" s="97">
        <f t="shared" si="5"/>
        <v>0</v>
      </c>
      <c r="Y15" s="209"/>
      <c r="Z15" s="210"/>
      <c r="AA15" s="210"/>
      <c r="AB15" s="128">
        <f>IF(AND(D15="Jour férié semaine",((G15-F15)+(I15-H15)+(K15-J15)=0)),VLOOKUP(D15,Systeemgegevens!$J:$K,2,FALSE),0)</f>
        <v>0</v>
      </c>
      <c r="AC15" s="43">
        <f>IF(AND(NOT(ISERROR(FIND("Congé",D15))),ISERROR(FIND("1/2",D15)),ISERROR(FIND("Synd",D15)),ISERROR(FIND("synd",D15)),(G15-F15+I15-H15+K15-J15)=0),VLOOKUP(D15,Systeemgegevens!$J:$K,2,FALSE),IF(AND(NOT(ISERROR(FIND("1/2 Congé + ",D15))),(G15-F15+I15-H15+K15-J15)=0),VLOOKUP(D15,Systeemgegevens!$J:$K,2,FALSE)/2,IF(AND(NOT(ISERROR(FIND("1/2 Congé",D15))),ISERROR(FIND(" + ",D15)),ISERROR(FIND("1/2 Congé Synd.",D15))),VLOOKUP(D15,Systeemgegevens!$J:$K,2,FALSE),0)))</f>
        <v>0</v>
      </c>
      <c r="AD15" s="43">
        <f>IF(AND(OR(D15="1/2 Congé Synd.",D15="Congé Synd."),((G15-F15)+(I15-H15)+(K15-J15)=0)),VLOOKUP(D15,Systeemgegevens!$J:$K,2,FALSE),IF(AND(D15="1/2 Congé + 1/2 synd.",((G15-F15)+(I15-H15)+(K15-J15)=0)),AC15,0))</f>
        <v>0</v>
      </c>
      <c r="AE15" s="43">
        <f>IF(AND(D15="Jour de pont",((G15-F15)+(I15-H15)+(K15-J15)=0)),VLOOKUP(D15,Systeemgegevens!$J:$K,2,FALSE),0)</f>
        <v>0</v>
      </c>
      <c r="AF15" s="43">
        <f>IF(AND(D15="Jour libre 4/5",AND((G15-F15)+(I15-H15)+(K15-J15)=0)),VLOOKUP(D15,Systeemgegevens!$J:$K,2,FALSE),0)</f>
        <v>0</v>
      </c>
      <c r="AG15" s="118">
        <f>IF(AND(D15&lt;&gt;"",SUM(AB15:AF15)=0,D15&lt;&gt;$AB$4,D15&lt;&gt;$AC$4,D15&lt;&gt;$AE$4,D15&lt;&gt;$AF$4),VLOOKUP(D15,Systeemgegevens!$J:$K,2,FALSE),0)</f>
        <v>0</v>
      </c>
      <c r="AH15" s="119">
        <f t="shared" si="6"/>
        <v>0</v>
      </c>
      <c r="AI15" s="101">
        <f t="shared" si="7"/>
        <v>0</v>
      </c>
      <c r="AJ15" s="118">
        <f t="shared" si="19"/>
        <v>0</v>
      </c>
      <c r="AK15" s="119">
        <f t="shared" si="8"/>
        <v>0</v>
      </c>
      <c r="AL15" s="101">
        <f t="shared" si="9"/>
        <v>0</v>
      </c>
      <c r="AM15" s="43">
        <f t="shared" si="20"/>
        <v>0</v>
      </c>
      <c r="AN15" s="118">
        <f t="shared" si="21"/>
        <v>0</v>
      </c>
      <c r="AO15" s="122">
        <f t="shared" si="10"/>
        <v>0</v>
      </c>
      <c r="AP15" s="107">
        <f t="shared" si="11"/>
        <v>0</v>
      </c>
      <c r="AQ15" s="107">
        <f t="shared" si="12"/>
        <v>0</v>
      </c>
      <c r="AR15" s="123">
        <f t="shared" si="13"/>
        <v>0</v>
      </c>
      <c r="AS15" s="124">
        <f t="shared" si="14"/>
        <v>0</v>
      </c>
      <c r="AT15" s="124">
        <f t="shared" si="15"/>
        <v>0</v>
      </c>
      <c r="AU15" s="124">
        <f t="shared" si="16"/>
        <v>0</v>
      </c>
      <c r="AV15" s="117" t="s">
        <v>30</v>
      </c>
      <c r="AW15" s="129">
        <f>IF(($R$40=AV15)*AND($R$41&lt;&gt;""),VLOOKUP($R$41,'Barèmes police'!$W$4:$X$30,2),0)</f>
        <v>0</v>
      </c>
      <c r="AX15" s="16" t="str">
        <f>IF('Types de jours'!F21&lt;&gt;"",'Types de jours'!F21,"")</f>
        <v>1/2 Congé + 1/2 synd.</v>
      </c>
      <c r="AY15" s="144">
        <f>IF(AX15&lt;&gt;"",'Types de jours'!I21,"")</f>
        <v>0.31666666666666665</v>
      </c>
      <c r="AZ15" s="269"/>
      <c r="BA15" s="154"/>
      <c r="BB15" s="154"/>
      <c r="BC15" s="154"/>
      <c r="BD15" s="154"/>
      <c r="BE15" s="154"/>
      <c r="BF15" s="154"/>
    </row>
    <row r="16" spans="1:58" ht="12.75" customHeight="1" x14ac:dyDescent="0.2">
      <c r="A16" s="34"/>
      <c r="B16" s="24" t="str">
        <f t="shared" si="0"/>
        <v>Lu</v>
      </c>
      <c r="C16" s="25">
        <f t="shared" si="22"/>
        <v>45544</v>
      </c>
      <c r="D16" s="51"/>
      <c r="E16" s="116"/>
      <c r="F16" s="52"/>
      <c r="G16" s="53"/>
      <c r="H16" s="52"/>
      <c r="I16" s="53"/>
      <c r="J16" s="54"/>
      <c r="K16" s="55"/>
      <c r="L16" s="40">
        <f t="shared" si="1"/>
        <v>0</v>
      </c>
      <c r="M16" s="41">
        <f t="shared" si="23"/>
        <v>0</v>
      </c>
      <c r="N16" s="42">
        <f>IF(AND(D16&lt;&gt;"Jour libre 4/5",B16&lt;&gt;"Sa",B16&lt;&gt;"Di"),SUM(N15,Configuration!$H$41),SUM(N15))</f>
        <v>1.9</v>
      </c>
      <c r="O16" s="49" t="str">
        <f t="shared" si="24"/>
        <v>-</v>
      </c>
      <c r="P16" s="143">
        <f t="shared" si="17"/>
        <v>1.9</v>
      </c>
      <c r="Q16" s="167">
        <f t="shared" si="18"/>
        <v>0</v>
      </c>
      <c r="R16" s="168">
        <f t="shared" si="18"/>
        <v>0</v>
      </c>
      <c r="S16" s="168">
        <f t="shared" si="18"/>
        <v>0</v>
      </c>
      <c r="T16" s="169">
        <f t="shared" si="18"/>
        <v>0</v>
      </c>
      <c r="U16" s="97">
        <f t="shared" si="2"/>
        <v>0</v>
      </c>
      <c r="V16" s="97">
        <f t="shared" si="3"/>
        <v>0</v>
      </c>
      <c r="W16" s="97">
        <f t="shared" si="4"/>
        <v>0</v>
      </c>
      <c r="X16" s="97">
        <f t="shared" si="5"/>
        <v>0</v>
      </c>
      <c r="Y16" s="209"/>
      <c r="Z16" s="210"/>
      <c r="AA16" s="210"/>
      <c r="AB16" s="128">
        <f>IF(AND(D16="Jour férié semaine",((G16-F16)+(I16-H16)+(K16-J16)=0)),VLOOKUP(D16,Systeemgegevens!$J:$K,2,FALSE),0)</f>
        <v>0</v>
      </c>
      <c r="AC16" s="43">
        <f>IF(AND(NOT(ISERROR(FIND("Congé",D16))),ISERROR(FIND("1/2",D16)),ISERROR(FIND("Synd",D16)),ISERROR(FIND("synd",D16)),(G16-F16+I16-H16+K16-J16)=0),VLOOKUP(D16,Systeemgegevens!$J:$K,2,FALSE),IF(AND(NOT(ISERROR(FIND("1/2 Congé + ",D16))),(G16-F16+I16-H16+K16-J16)=0),VLOOKUP(D16,Systeemgegevens!$J:$K,2,FALSE)/2,IF(AND(NOT(ISERROR(FIND("1/2 Congé",D16))),ISERROR(FIND(" + ",D16)),ISERROR(FIND("1/2 Congé Synd.",D16))),VLOOKUP(D16,Systeemgegevens!$J:$K,2,FALSE),0)))</f>
        <v>0</v>
      </c>
      <c r="AD16" s="43">
        <f>IF(AND(OR(D16="1/2 Congé Synd.",D16="Congé Synd."),((G16-F16)+(I16-H16)+(K16-J16)=0)),VLOOKUP(D16,Systeemgegevens!$J:$K,2,FALSE),IF(AND(D16="1/2 Congé + 1/2 synd.",((G16-F16)+(I16-H16)+(K16-J16)=0)),AC16,0))</f>
        <v>0</v>
      </c>
      <c r="AE16" s="43">
        <f>IF(AND(D16="Jour de pont",((G16-F16)+(I16-H16)+(K16-J16)=0)),VLOOKUP(D16,Systeemgegevens!$J:$K,2,FALSE),0)</f>
        <v>0</v>
      </c>
      <c r="AF16" s="43">
        <f>IF(AND(D16="Jour libre 4/5",AND((G16-F16)+(I16-H16)+(K16-J16)=0)),VLOOKUP(D16,Systeemgegevens!$J:$K,2,FALSE),0)</f>
        <v>0</v>
      </c>
      <c r="AG16" s="118">
        <f>IF(AND(D16&lt;&gt;"",SUM(AB16:AF16)=0,D16&lt;&gt;$AB$4,D16&lt;&gt;$AC$4,D16&lt;&gt;$AE$4,D16&lt;&gt;$AF$4),VLOOKUP(D16,Systeemgegevens!$J:$K,2,FALSE),0)</f>
        <v>0</v>
      </c>
      <c r="AH16" s="119">
        <f t="shared" si="6"/>
        <v>0</v>
      </c>
      <c r="AI16" s="101">
        <f t="shared" si="7"/>
        <v>0</v>
      </c>
      <c r="AJ16" s="118">
        <f t="shared" si="19"/>
        <v>0</v>
      </c>
      <c r="AK16" s="119">
        <f t="shared" si="8"/>
        <v>0</v>
      </c>
      <c r="AL16" s="101">
        <f t="shared" si="9"/>
        <v>0</v>
      </c>
      <c r="AM16" s="43">
        <f t="shared" si="20"/>
        <v>0</v>
      </c>
      <c r="AN16" s="118">
        <f t="shared" si="21"/>
        <v>0</v>
      </c>
      <c r="AO16" s="122">
        <f t="shared" si="10"/>
        <v>0</v>
      </c>
      <c r="AP16" s="107">
        <f t="shared" si="11"/>
        <v>0</v>
      </c>
      <c r="AQ16" s="107">
        <f t="shared" si="12"/>
        <v>0</v>
      </c>
      <c r="AR16" s="123">
        <f t="shared" si="13"/>
        <v>0</v>
      </c>
      <c r="AS16" s="124">
        <f t="shared" si="14"/>
        <v>0</v>
      </c>
      <c r="AT16" s="124">
        <f t="shared" si="15"/>
        <v>0</v>
      </c>
      <c r="AU16" s="124">
        <f t="shared" si="16"/>
        <v>0</v>
      </c>
      <c r="AV16" s="117" t="s">
        <v>29</v>
      </c>
      <c r="AW16" s="129">
        <f>IF(($R$40=AV16)*AND($R$41&lt;&gt;""),VLOOKUP($R$41,'Barèmes police'!$Z$4:$AA$30,2),0)</f>
        <v>0</v>
      </c>
      <c r="AX16" s="16" t="str">
        <f>IF('Types de jours'!F22&lt;&gt;"",'Types de jours'!F22,"")</f>
        <v>Jour férié semaine</v>
      </c>
      <c r="AY16" s="144">
        <f>IF(AX16&lt;&gt;"",'Types de jours'!I22,"")</f>
        <v>0.31666666666666665</v>
      </c>
      <c r="AZ16" s="269"/>
      <c r="BA16" s="154"/>
      <c r="BB16" s="154"/>
      <c r="BC16" s="154"/>
      <c r="BD16" s="154"/>
      <c r="BE16" s="154"/>
      <c r="BF16" s="154"/>
    </row>
    <row r="17" spans="1:58" ht="12.75" customHeight="1" x14ac:dyDescent="0.2">
      <c r="A17" s="34"/>
      <c r="B17" s="24" t="str">
        <f t="shared" si="0"/>
        <v>Ma</v>
      </c>
      <c r="C17" s="25">
        <f t="shared" si="22"/>
        <v>45545</v>
      </c>
      <c r="D17" s="51"/>
      <c r="E17" s="116"/>
      <c r="F17" s="52"/>
      <c r="G17" s="53"/>
      <c r="H17" s="52"/>
      <c r="I17" s="53"/>
      <c r="J17" s="54"/>
      <c r="K17" s="55"/>
      <c r="L17" s="40">
        <f t="shared" si="1"/>
        <v>0</v>
      </c>
      <c r="M17" s="41">
        <f t="shared" si="23"/>
        <v>0</v>
      </c>
      <c r="N17" s="42">
        <f>IF(AND(D17&lt;&gt;"Jour libre 4/5",B17&lt;&gt;"Sa",B17&lt;&gt;"Di"),SUM(N16,Configuration!$H$41),SUM(N16))</f>
        <v>2.2166666666666668</v>
      </c>
      <c r="O17" s="49" t="str">
        <f t="shared" si="24"/>
        <v>-</v>
      </c>
      <c r="P17" s="143">
        <f t="shared" si="17"/>
        <v>2.2166666666666668</v>
      </c>
      <c r="Q17" s="167">
        <f t="shared" si="18"/>
        <v>0</v>
      </c>
      <c r="R17" s="168">
        <f t="shared" si="18"/>
        <v>0</v>
      </c>
      <c r="S17" s="168">
        <f t="shared" si="18"/>
        <v>0</v>
      </c>
      <c r="T17" s="169">
        <f t="shared" si="18"/>
        <v>0</v>
      </c>
      <c r="U17" s="97">
        <f t="shared" si="2"/>
        <v>0</v>
      </c>
      <c r="V17" s="97">
        <f t="shared" si="3"/>
        <v>0</v>
      </c>
      <c r="W17" s="97">
        <f t="shared" si="4"/>
        <v>0</v>
      </c>
      <c r="X17" s="97">
        <f t="shared" si="5"/>
        <v>0</v>
      </c>
      <c r="Y17" s="209"/>
      <c r="Z17" s="210"/>
      <c r="AA17" s="210"/>
      <c r="AB17" s="128">
        <f>IF(AND(D17="Jour férié semaine",((G17-F17)+(I17-H17)+(K17-J17)=0)),VLOOKUP(D17,Systeemgegevens!$J:$K,2,FALSE),0)</f>
        <v>0</v>
      </c>
      <c r="AC17" s="43">
        <f>IF(AND(NOT(ISERROR(FIND("Congé",D17))),ISERROR(FIND("1/2",D17)),ISERROR(FIND("Synd",D17)),ISERROR(FIND("synd",D17)),(G17-F17+I17-H17+K17-J17)=0),VLOOKUP(D17,Systeemgegevens!$J:$K,2,FALSE),IF(AND(NOT(ISERROR(FIND("1/2 Congé + ",D17))),(G17-F17+I17-H17+K17-J17)=0),VLOOKUP(D17,Systeemgegevens!$J:$K,2,FALSE)/2,IF(AND(NOT(ISERROR(FIND("1/2 Congé",D17))),ISERROR(FIND(" + ",D17)),ISERROR(FIND("1/2 Congé Synd.",D17))),VLOOKUP(D17,Systeemgegevens!$J:$K,2,FALSE),0)))</f>
        <v>0</v>
      </c>
      <c r="AD17" s="43">
        <f>IF(AND(OR(D17="1/2 Congé Synd.",D17="Congé Synd."),((G17-F17)+(I17-H17)+(K17-J17)=0)),VLOOKUP(D17,Systeemgegevens!$J:$K,2,FALSE),IF(AND(D17="1/2 Congé + 1/2 synd.",((G17-F17)+(I17-H17)+(K17-J17)=0)),AC17,0))</f>
        <v>0</v>
      </c>
      <c r="AE17" s="43">
        <f>IF(AND(D17="Jour de pont",((G17-F17)+(I17-H17)+(K17-J17)=0)),VLOOKUP(D17,Systeemgegevens!$J:$K,2,FALSE),0)</f>
        <v>0</v>
      </c>
      <c r="AF17" s="43">
        <f>IF(AND(D17="Jour libre 4/5",AND((G17-F17)+(I17-H17)+(K17-J17)=0)),VLOOKUP(D17,Systeemgegevens!$J:$K,2,FALSE),0)</f>
        <v>0</v>
      </c>
      <c r="AG17" s="118">
        <f>IF(AND(D17&lt;&gt;"",SUM(AB17:AF17)=0,D17&lt;&gt;$AB$4,D17&lt;&gt;$AC$4,D17&lt;&gt;$AE$4,D17&lt;&gt;$AF$4),VLOOKUP(D17,Systeemgegevens!$J:$K,2,FALSE),0)</f>
        <v>0</v>
      </c>
      <c r="AH17" s="119">
        <f t="shared" si="6"/>
        <v>0</v>
      </c>
      <c r="AI17" s="101">
        <f t="shared" si="7"/>
        <v>0</v>
      </c>
      <c r="AJ17" s="118">
        <f t="shared" si="19"/>
        <v>0</v>
      </c>
      <c r="AK17" s="119">
        <f t="shared" si="8"/>
        <v>0</v>
      </c>
      <c r="AL17" s="101">
        <f t="shared" si="9"/>
        <v>0</v>
      </c>
      <c r="AM17" s="43">
        <f t="shared" si="20"/>
        <v>0</v>
      </c>
      <c r="AN17" s="118">
        <f t="shared" si="21"/>
        <v>0</v>
      </c>
      <c r="AO17" s="122">
        <f t="shared" si="10"/>
        <v>0</v>
      </c>
      <c r="AP17" s="107">
        <f t="shared" si="11"/>
        <v>0</v>
      </c>
      <c r="AQ17" s="107">
        <f t="shared" si="12"/>
        <v>0</v>
      </c>
      <c r="AR17" s="123">
        <f t="shared" si="13"/>
        <v>0</v>
      </c>
      <c r="AS17" s="124">
        <f t="shared" si="14"/>
        <v>0</v>
      </c>
      <c r="AT17" s="124">
        <f t="shared" si="15"/>
        <v>0</v>
      </c>
      <c r="AU17" s="124">
        <f t="shared" si="16"/>
        <v>0</v>
      </c>
      <c r="AV17" s="117" t="s">
        <v>28</v>
      </c>
      <c r="AW17" s="129">
        <f>IF(($R$40=AV17)*AND($R$41&lt;&gt;""),VLOOKUP($R$41,'Barèmes police'!$AC$4:$AD$30,2),0)</f>
        <v>0</v>
      </c>
      <c r="AX17" s="16" t="str">
        <f>IF('Types de jours'!F23&lt;&gt;"",'Types de jours'!F23,"")</f>
        <v>Jour libre 4/5</v>
      </c>
      <c r="AY17" s="144">
        <f>IF(AX17&lt;&gt;"",'Types de jours'!I23,"")</f>
        <v>0</v>
      </c>
      <c r="AZ17" s="269"/>
      <c r="BA17" s="154"/>
      <c r="BB17" s="154"/>
      <c r="BC17" s="154"/>
      <c r="BD17" s="154"/>
      <c r="BE17" s="154"/>
      <c r="BF17" s="154"/>
    </row>
    <row r="18" spans="1:58" ht="12.75" customHeight="1" x14ac:dyDescent="0.2">
      <c r="A18" s="34"/>
      <c r="B18" s="24" t="str">
        <f t="shared" si="0"/>
        <v>Me</v>
      </c>
      <c r="C18" s="25">
        <f t="shared" si="22"/>
        <v>45546</v>
      </c>
      <c r="D18" s="51"/>
      <c r="E18" s="116"/>
      <c r="F18" s="52"/>
      <c r="G18" s="53"/>
      <c r="H18" s="52"/>
      <c r="I18" s="53"/>
      <c r="J18" s="54"/>
      <c r="K18" s="55"/>
      <c r="L18" s="40">
        <f t="shared" si="1"/>
        <v>0</v>
      </c>
      <c r="M18" s="41">
        <f t="shared" si="23"/>
        <v>0</v>
      </c>
      <c r="N18" s="42">
        <f>IF(AND(D18&lt;&gt;"Jour libre 4/5",B18&lt;&gt;"Sa",B18&lt;&gt;"Di"),SUM(N17,Configuration!$H$41),SUM(N17))</f>
        <v>2.5333333333333332</v>
      </c>
      <c r="O18" s="49" t="str">
        <f t="shared" si="24"/>
        <v>-</v>
      </c>
      <c r="P18" s="143">
        <f t="shared" si="17"/>
        <v>2.5333333333333332</v>
      </c>
      <c r="Q18" s="167">
        <f t="shared" si="18"/>
        <v>0</v>
      </c>
      <c r="R18" s="168">
        <f t="shared" si="18"/>
        <v>0</v>
      </c>
      <c r="S18" s="168">
        <f t="shared" si="18"/>
        <v>0</v>
      </c>
      <c r="T18" s="169">
        <f t="shared" si="18"/>
        <v>0</v>
      </c>
      <c r="U18" s="97">
        <f t="shared" si="2"/>
        <v>0</v>
      </c>
      <c r="V18" s="97">
        <f t="shared" si="3"/>
        <v>0</v>
      </c>
      <c r="W18" s="97">
        <f t="shared" si="4"/>
        <v>0</v>
      </c>
      <c r="X18" s="97">
        <f t="shared" si="5"/>
        <v>0</v>
      </c>
      <c r="Y18" s="209"/>
      <c r="Z18" s="210"/>
      <c r="AA18" s="210"/>
      <c r="AB18" s="128">
        <f>IF(AND(D18="Jour férié semaine",((G18-F18)+(I18-H18)+(K18-J18)=0)),VLOOKUP(D18,Systeemgegevens!$J:$K,2,FALSE),0)</f>
        <v>0</v>
      </c>
      <c r="AC18" s="43">
        <f>IF(AND(NOT(ISERROR(FIND("Congé",D18))),ISERROR(FIND("1/2",D18)),ISERROR(FIND("Synd",D18)),ISERROR(FIND("synd",D18)),(G18-F18+I18-H18+K18-J18)=0),VLOOKUP(D18,Systeemgegevens!$J:$K,2,FALSE),IF(AND(NOT(ISERROR(FIND("1/2 Congé + ",D18))),(G18-F18+I18-H18+K18-J18)=0),VLOOKUP(D18,Systeemgegevens!$J:$K,2,FALSE)/2,IF(AND(NOT(ISERROR(FIND("1/2 Congé",D18))),ISERROR(FIND(" + ",D18)),ISERROR(FIND("1/2 Congé Synd.",D18))),VLOOKUP(D18,Systeemgegevens!$J:$K,2,FALSE),0)))</f>
        <v>0</v>
      </c>
      <c r="AD18" s="43">
        <f>IF(AND(OR(D18="1/2 Congé Synd.",D18="Congé Synd."),((G18-F18)+(I18-H18)+(K18-J18)=0)),VLOOKUP(D18,Systeemgegevens!$J:$K,2,FALSE),IF(AND(D18="1/2 Congé + 1/2 synd.",((G18-F18)+(I18-H18)+(K18-J18)=0)),AC18,0))</f>
        <v>0</v>
      </c>
      <c r="AE18" s="43">
        <f>IF(AND(D18="Jour de pont",((G18-F18)+(I18-H18)+(K18-J18)=0)),VLOOKUP(D18,Systeemgegevens!$J:$K,2,FALSE),0)</f>
        <v>0</v>
      </c>
      <c r="AF18" s="43">
        <f>IF(AND(D18="Jour libre 4/5",AND((G18-F18)+(I18-H18)+(K18-J18)=0)),VLOOKUP(D18,Systeemgegevens!$J:$K,2,FALSE),0)</f>
        <v>0</v>
      </c>
      <c r="AG18" s="118">
        <f>IF(AND(D18&lt;&gt;"",SUM(AB18:AF18)=0,D18&lt;&gt;$AB$4,D18&lt;&gt;$AC$4,D18&lt;&gt;$AE$4,D18&lt;&gt;$AF$4),VLOOKUP(D18,Systeemgegevens!$J:$K,2,FALSE),0)</f>
        <v>0</v>
      </c>
      <c r="AH18" s="119">
        <f t="shared" si="6"/>
        <v>0</v>
      </c>
      <c r="AI18" s="101">
        <f t="shared" si="7"/>
        <v>0</v>
      </c>
      <c r="AJ18" s="118">
        <f t="shared" si="19"/>
        <v>0</v>
      </c>
      <c r="AK18" s="119">
        <f t="shared" si="8"/>
        <v>0</v>
      </c>
      <c r="AL18" s="101">
        <f t="shared" si="9"/>
        <v>0</v>
      </c>
      <c r="AM18" s="43">
        <f t="shared" si="20"/>
        <v>0</v>
      </c>
      <c r="AN18" s="118">
        <f t="shared" si="21"/>
        <v>0</v>
      </c>
      <c r="AO18" s="122">
        <f t="shared" si="10"/>
        <v>0</v>
      </c>
      <c r="AP18" s="107">
        <f t="shared" si="11"/>
        <v>0</v>
      </c>
      <c r="AQ18" s="107">
        <f t="shared" si="12"/>
        <v>0</v>
      </c>
      <c r="AR18" s="123">
        <f t="shared" si="13"/>
        <v>0</v>
      </c>
      <c r="AS18" s="124">
        <f t="shared" si="14"/>
        <v>0</v>
      </c>
      <c r="AT18" s="124">
        <f t="shared" si="15"/>
        <v>0</v>
      </c>
      <c r="AU18" s="124">
        <f t="shared" si="16"/>
        <v>0</v>
      </c>
      <c r="AV18" s="117" t="s">
        <v>27</v>
      </c>
      <c r="AW18" s="129">
        <f>IF(($R$40=AV18)*AND($R$41&lt;&gt;""),VLOOKUP($R$41,'Barèmes police'!$AF$4:$AG$30,2),0)</f>
        <v>0</v>
      </c>
      <c r="AX18" s="16" t="str">
        <f>IF('Types de jours'!F24&lt;&gt;"",'Types de jours'!F24,"")</f>
        <v>Jour de pont</v>
      </c>
      <c r="AY18" s="144">
        <f>IF(AX18&lt;&gt;"",'Types de jours'!I24,"")</f>
        <v>0.31666666666666665</v>
      </c>
      <c r="AZ18" s="269"/>
      <c r="BA18" s="154"/>
      <c r="BB18" s="154"/>
      <c r="BC18" s="154"/>
      <c r="BD18" s="154"/>
      <c r="BE18" s="154"/>
      <c r="BF18" s="154"/>
    </row>
    <row r="19" spans="1:58" ht="12.75" customHeight="1" x14ac:dyDescent="0.2">
      <c r="A19" s="34"/>
      <c r="B19" s="24" t="str">
        <f t="shared" si="0"/>
        <v>Je</v>
      </c>
      <c r="C19" s="25">
        <f t="shared" si="22"/>
        <v>45547</v>
      </c>
      <c r="D19" s="51"/>
      <c r="E19" s="116"/>
      <c r="F19" s="52"/>
      <c r="G19" s="53"/>
      <c r="H19" s="52"/>
      <c r="I19" s="53"/>
      <c r="J19" s="54"/>
      <c r="K19" s="55"/>
      <c r="L19" s="40">
        <f t="shared" si="1"/>
        <v>0</v>
      </c>
      <c r="M19" s="41">
        <f t="shared" si="23"/>
        <v>0</v>
      </c>
      <c r="N19" s="42">
        <f>IF(AND(D19&lt;&gt;"Jour libre 4/5",B19&lt;&gt;"Sa",B19&lt;&gt;"Di"),SUM(N18,Configuration!$H$41),SUM(N18))</f>
        <v>2.8499999999999996</v>
      </c>
      <c r="O19" s="49" t="str">
        <f t="shared" si="24"/>
        <v>-</v>
      </c>
      <c r="P19" s="143">
        <f t="shared" si="17"/>
        <v>2.8499999999999996</v>
      </c>
      <c r="Q19" s="167">
        <f t="shared" si="18"/>
        <v>0</v>
      </c>
      <c r="R19" s="168">
        <f t="shared" si="18"/>
        <v>0</v>
      </c>
      <c r="S19" s="168">
        <f t="shared" si="18"/>
        <v>0</v>
      </c>
      <c r="T19" s="169">
        <f t="shared" si="18"/>
        <v>0</v>
      </c>
      <c r="U19" s="97">
        <f t="shared" si="2"/>
        <v>0</v>
      </c>
      <c r="V19" s="97">
        <f t="shared" si="3"/>
        <v>0</v>
      </c>
      <c r="W19" s="97">
        <f t="shared" si="4"/>
        <v>0</v>
      </c>
      <c r="X19" s="97">
        <f t="shared" si="5"/>
        <v>0</v>
      </c>
      <c r="Y19" s="209"/>
      <c r="Z19" s="210"/>
      <c r="AA19" s="210"/>
      <c r="AB19" s="128">
        <f>IF(AND(D19="Jour férié semaine",((G19-F19)+(I19-H19)+(K19-J19)=0)),VLOOKUP(D19,Systeemgegevens!$J:$K,2,FALSE),0)</f>
        <v>0</v>
      </c>
      <c r="AC19" s="43">
        <f>IF(AND(NOT(ISERROR(FIND("Congé",D19))),ISERROR(FIND("1/2",D19)),ISERROR(FIND("Synd",D19)),ISERROR(FIND("synd",D19)),(G19-F19+I19-H19+K19-J19)=0),VLOOKUP(D19,Systeemgegevens!$J:$K,2,FALSE),IF(AND(NOT(ISERROR(FIND("1/2 Congé + ",D19))),(G19-F19+I19-H19+K19-J19)=0),VLOOKUP(D19,Systeemgegevens!$J:$K,2,FALSE)/2,IF(AND(NOT(ISERROR(FIND("1/2 Congé",D19))),ISERROR(FIND(" + ",D19)),ISERROR(FIND("1/2 Congé Synd.",D19))),VLOOKUP(D19,Systeemgegevens!$J:$K,2,FALSE),0)))</f>
        <v>0</v>
      </c>
      <c r="AD19" s="43">
        <f>IF(AND(OR(D19="1/2 Congé Synd.",D19="Congé Synd."),((G19-F19)+(I19-H19)+(K19-J19)=0)),VLOOKUP(D19,Systeemgegevens!$J:$K,2,FALSE),IF(AND(D19="1/2 Congé + 1/2 synd.",((G19-F19)+(I19-H19)+(K19-J19)=0)),AC19,0))</f>
        <v>0</v>
      </c>
      <c r="AE19" s="43">
        <f>IF(AND(D19="Jour de pont",((G19-F19)+(I19-H19)+(K19-J19)=0)),VLOOKUP(D19,Systeemgegevens!$J:$K,2,FALSE),0)</f>
        <v>0</v>
      </c>
      <c r="AF19" s="43">
        <f>IF(AND(D19="Jour libre 4/5",AND((G19-F19)+(I19-H19)+(K19-J19)=0)),VLOOKUP(D19,Systeemgegevens!$J:$K,2,FALSE),0)</f>
        <v>0</v>
      </c>
      <c r="AG19" s="118">
        <f>IF(AND(D19&lt;&gt;"",SUM(AB19:AF19)=0,D19&lt;&gt;$AB$4,D19&lt;&gt;$AC$4,D19&lt;&gt;$AE$4,D19&lt;&gt;$AF$4),VLOOKUP(D19,Systeemgegevens!$J:$K,2,FALSE),0)</f>
        <v>0</v>
      </c>
      <c r="AH19" s="119">
        <f t="shared" si="6"/>
        <v>0</v>
      </c>
      <c r="AI19" s="101">
        <f t="shared" si="7"/>
        <v>0</v>
      </c>
      <c r="AJ19" s="118">
        <f t="shared" si="19"/>
        <v>0</v>
      </c>
      <c r="AK19" s="119">
        <f t="shared" si="8"/>
        <v>0</v>
      </c>
      <c r="AL19" s="101">
        <f t="shared" si="9"/>
        <v>0</v>
      </c>
      <c r="AM19" s="43">
        <f t="shared" si="20"/>
        <v>0</v>
      </c>
      <c r="AN19" s="118">
        <f t="shared" si="21"/>
        <v>0</v>
      </c>
      <c r="AO19" s="122">
        <f t="shared" si="10"/>
        <v>0</v>
      </c>
      <c r="AP19" s="107">
        <f t="shared" si="11"/>
        <v>0</v>
      </c>
      <c r="AQ19" s="107">
        <f t="shared" si="12"/>
        <v>0</v>
      </c>
      <c r="AR19" s="123">
        <f t="shared" si="13"/>
        <v>0</v>
      </c>
      <c r="AS19" s="124">
        <f t="shared" si="14"/>
        <v>0</v>
      </c>
      <c r="AT19" s="124">
        <f t="shared" si="15"/>
        <v>0</v>
      </c>
      <c r="AU19" s="124">
        <f t="shared" si="16"/>
        <v>0</v>
      </c>
      <c r="AV19" s="117" t="s">
        <v>26</v>
      </c>
      <c r="AW19" s="129">
        <f>IF(($R$40=AV19)*AND($R$41&lt;&gt;""),VLOOKUP($R$41,'Barèmes police'!$AI$4:$AJ$30,2),0)</f>
        <v>0</v>
      </c>
      <c r="AX19" s="16" t="str">
        <f>IF('Types de jours'!F25&lt;&gt;"",'Types de jours'!F25,"")</f>
        <v>Congé 12h</v>
      </c>
      <c r="AY19" s="144">
        <f>IF(AX19&lt;&gt;"",'Types de jours'!I25,"")</f>
        <v>0.5</v>
      </c>
      <c r="AZ19" s="269"/>
      <c r="BA19" s="154"/>
      <c r="BB19" s="154"/>
      <c r="BC19" s="154"/>
      <c r="BD19" s="154"/>
      <c r="BE19" s="154"/>
      <c r="BF19" s="154"/>
    </row>
    <row r="20" spans="1:58" ht="12.75" customHeight="1" x14ac:dyDescent="0.2">
      <c r="A20" s="34"/>
      <c r="B20" s="24" t="str">
        <f t="shared" si="0"/>
        <v>Ve</v>
      </c>
      <c r="C20" s="25">
        <f t="shared" si="22"/>
        <v>45548</v>
      </c>
      <c r="D20" s="51"/>
      <c r="E20" s="116"/>
      <c r="F20" s="52"/>
      <c r="G20" s="53"/>
      <c r="H20" s="52"/>
      <c r="I20" s="53"/>
      <c r="J20" s="54"/>
      <c r="K20" s="55"/>
      <c r="L20" s="40">
        <f t="shared" si="1"/>
        <v>0</v>
      </c>
      <c r="M20" s="41">
        <f t="shared" si="23"/>
        <v>0</v>
      </c>
      <c r="N20" s="42">
        <f>IF(AND(D20&lt;&gt;"Jour libre 4/5",B20&lt;&gt;"Sa",B20&lt;&gt;"Di"),SUM(N19,Configuration!$H$41),SUM(N19))</f>
        <v>3.1666666666666661</v>
      </c>
      <c r="O20" s="49" t="str">
        <f t="shared" si="24"/>
        <v>-</v>
      </c>
      <c r="P20" s="143">
        <f t="shared" si="17"/>
        <v>3.1666666666666661</v>
      </c>
      <c r="Q20" s="167">
        <f t="shared" si="18"/>
        <v>0</v>
      </c>
      <c r="R20" s="168">
        <f t="shared" si="18"/>
        <v>0</v>
      </c>
      <c r="S20" s="168">
        <f t="shared" si="18"/>
        <v>0</v>
      </c>
      <c r="T20" s="169">
        <f t="shared" si="18"/>
        <v>0</v>
      </c>
      <c r="U20" s="97">
        <f t="shared" si="2"/>
        <v>0</v>
      </c>
      <c r="V20" s="97">
        <f t="shared" si="3"/>
        <v>0</v>
      </c>
      <c r="W20" s="97">
        <f t="shared" si="4"/>
        <v>0</v>
      </c>
      <c r="X20" s="97">
        <f t="shared" si="5"/>
        <v>0</v>
      </c>
      <c r="Y20" s="209"/>
      <c r="Z20" s="210"/>
      <c r="AA20" s="210"/>
      <c r="AB20" s="128">
        <f>IF(AND(D20="Jour férié semaine",((G20-F20)+(I20-H20)+(K20-J20)=0)),VLOOKUP(D20,Systeemgegevens!$J:$K,2,FALSE),0)</f>
        <v>0</v>
      </c>
      <c r="AC20" s="43">
        <f>IF(AND(NOT(ISERROR(FIND("Congé",D20))),ISERROR(FIND("1/2",D20)),ISERROR(FIND("Synd",D20)),ISERROR(FIND("synd",D20)),(G20-F20+I20-H20+K20-J20)=0),VLOOKUP(D20,Systeemgegevens!$J:$K,2,FALSE),IF(AND(NOT(ISERROR(FIND("1/2 Congé + ",D20))),(G20-F20+I20-H20+K20-J20)=0),VLOOKUP(D20,Systeemgegevens!$J:$K,2,FALSE)/2,IF(AND(NOT(ISERROR(FIND("1/2 Congé",D20))),ISERROR(FIND(" + ",D20)),ISERROR(FIND("1/2 Congé Synd.",D20))),VLOOKUP(D20,Systeemgegevens!$J:$K,2,FALSE),0)))</f>
        <v>0</v>
      </c>
      <c r="AD20" s="43">
        <f>IF(AND(OR(D20="1/2 Congé Synd.",D20="Congé Synd."),((G20-F20)+(I20-H20)+(K20-J20)=0)),VLOOKUP(D20,Systeemgegevens!$J:$K,2,FALSE),IF(AND(D20="1/2 Congé + 1/2 synd.",((G20-F20)+(I20-H20)+(K20-J20)=0)),AC20,0))</f>
        <v>0</v>
      </c>
      <c r="AE20" s="43">
        <f>IF(AND(D20="Jour de pont",((G20-F20)+(I20-H20)+(K20-J20)=0)),VLOOKUP(D20,Systeemgegevens!$J:$K,2,FALSE),0)</f>
        <v>0</v>
      </c>
      <c r="AF20" s="43">
        <f>IF(AND(D20="Jour libre 4/5",AND((G20-F20)+(I20-H20)+(K20-J20)=0)),VLOOKUP(D20,Systeemgegevens!$J:$K,2,FALSE),0)</f>
        <v>0</v>
      </c>
      <c r="AG20" s="118">
        <f>IF(AND(D20&lt;&gt;"",SUM(AB20:AF20)=0,D20&lt;&gt;$AB$4,D20&lt;&gt;$AC$4,D20&lt;&gt;$AE$4,D20&lt;&gt;$AF$4),VLOOKUP(D20,Systeemgegevens!$J:$K,2,FALSE),0)</f>
        <v>0</v>
      </c>
      <c r="AH20" s="119">
        <f t="shared" si="6"/>
        <v>0</v>
      </c>
      <c r="AI20" s="101">
        <f t="shared" si="7"/>
        <v>0</v>
      </c>
      <c r="AJ20" s="118">
        <f t="shared" si="19"/>
        <v>0</v>
      </c>
      <c r="AK20" s="119">
        <f t="shared" si="8"/>
        <v>0</v>
      </c>
      <c r="AL20" s="101">
        <f t="shared" si="9"/>
        <v>0</v>
      </c>
      <c r="AM20" s="43">
        <f t="shared" si="20"/>
        <v>0</v>
      </c>
      <c r="AN20" s="118">
        <f t="shared" si="21"/>
        <v>0</v>
      </c>
      <c r="AO20" s="122">
        <f t="shared" si="10"/>
        <v>0</v>
      </c>
      <c r="AP20" s="107">
        <f t="shared" si="11"/>
        <v>0</v>
      </c>
      <c r="AQ20" s="107">
        <f t="shared" si="12"/>
        <v>0</v>
      </c>
      <c r="AR20" s="123">
        <f t="shared" si="13"/>
        <v>0</v>
      </c>
      <c r="AS20" s="124">
        <f t="shared" si="14"/>
        <v>0</v>
      </c>
      <c r="AT20" s="124">
        <f t="shared" si="15"/>
        <v>0</v>
      </c>
      <c r="AU20" s="124">
        <f t="shared" si="16"/>
        <v>0</v>
      </c>
      <c r="AV20" s="117" t="s">
        <v>25</v>
      </c>
      <c r="AW20" s="129">
        <f>IF(($R$40=AV20)*AND($R$41&lt;&gt;""),VLOOKUP($R$41,'Barèmes police'!$AL$4:$AM$30,2),0)</f>
        <v>0</v>
      </c>
      <c r="AX20" s="16" t="str">
        <f>IF('Types de jours'!F26&lt;&gt;"",'Types de jours'!F26,"")</f>
        <v/>
      </c>
      <c r="AY20" s="144" t="str">
        <f>IF(AX20&lt;&gt;"",'Types de jours'!I26,"")</f>
        <v/>
      </c>
      <c r="AZ20" s="269"/>
      <c r="BA20" s="154"/>
      <c r="BB20" s="154"/>
      <c r="BC20" s="154"/>
      <c r="BD20" s="154"/>
      <c r="BE20" s="154"/>
      <c r="BF20" s="154"/>
    </row>
    <row r="21" spans="1:58" ht="12.75" customHeight="1" x14ac:dyDescent="0.2">
      <c r="A21" s="34"/>
      <c r="B21" s="24" t="str">
        <f t="shared" si="0"/>
        <v>Sa</v>
      </c>
      <c r="C21" s="25">
        <f t="shared" si="22"/>
        <v>45549</v>
      </c>
      <c r="D21" s="51"/>
      <c r="E21" s="116"/>
      <c r="F21" s="52"/>
      <c r="G21" s="53"/>
      <c r="H21" s="52"/>
      <c r="I21" s="53"/>
      <c r="J21" s="54"/>
      <c r="K21" s="55"/>
      <c r="L21" s="40">
        <f t="shared" si="1"/>
        <v>0</v>
      </c>
      <c r="M21" s="41">
        <f t="shared" si="23"/>
        <v>0</v>
      </c>
      <c r="N21" s="42">
        <f>IF(AND(D21&lt;&gt;"Jour libre 4/5",B21&lt;&gt;"Sa",B21&lt;&gt;"Di"),SUM(N20,Configuration!$H$41),SUM(N20))</f>
        <v>3.1666666666666661</v>
      </c>
      <c r="O21" s="49" t="str">
        <f t="shared" si="24"/>
        <v>-</v>
      </c>
      <c r="P21" s="143">
        <f t="shared" si="17"/>
        <v>3.1666666666666661</v>
      </c>
      <c r="Q21" s="167">
        <f t="shared" si="18"/>
        <v>0</v>
      </c>
      <c r="R21" s="168">
        <f t="shared" si="18"/>
        <v>0</v>
      </c>
      <c r="S21" s="168">
        <f t="shared" si="18"/>
        <v>0</v>
      </c>
      <c r="T21" s="169">
        <f t="shared" si="18"/>
        <v>0</v>
      </c>
      <c r="U21" s="97">
        <f t="shared" si="2"/>
        <v>0</v>
      </c>
      <c r="V21" s="97">
        <f t="shared" si="3"/>
        <v>0</v>
      </c>
      <c r="W21" s="97">
        <f t="shared" si="4"/>
        <v>0</v>
      </c>
      <c r="X21" s="97">
        <f t="shared" si="5"/>
        <v>0</v>
      </c>
      <c r="Y21" s="209"/>
      <c r="Z21" s="210"/>
      <c r="AA21" s="210"/>
      <c r="AB21" s="128">
        <f>IF(AND(D21="Jour férié semaine",((G21-F21)+(I21-H21)+(K21-J21)=0)),VLOOKUP(D21,Systeemgegevens!$J:$K,2,FALSE),0)</f>
        <v>0</v>
      </c>
      <c r="AC21" s="43">
        <f>IF(AND(NOT(ISERROR(FIND("Congé",D21))),ISERROR(FIND("1/2",D21)),ISERROR(FIND("Synd",D21)),ISERROR(FIND("synd",D21)),(G21-F21+I21-H21+K21-J21)=0),VLOOKUP(D21,Systeemgegevens!$J:$K,2,FALSE),IF(AND(NOT(ISERROR(FIND("1/2 Congé + ",D21))),(G21-F21+I21-H21+K21-J21)=0),VLOOKUP(D21,Systeemgegevens!$J:$K,2,FALSE)/2,IF(AND(NOT(ISERROR(FIND("1/2 Congé",D21))),ISERROR(FIND(" + ",D21)),ISERROR(FIND("1/2 Congé Synd.",D21))),VLOOKUP(D21,Systeemgegevens!$J:$K,2,FALSE),0)))</f>
        <v>0</v>
      </c>
      <c r="AD21" s="43">
        <f>IF(AND(OR(D21="1/2 Congé Synd.",D21="Congé Synd."),((G21-F21)+(I21-H21)+(K21-J21)=0)),VLOOKUP(D21,Systeemgegevens!$J:$K,2,FALSE),IF(AND(D21="1/2 Congé + 1/2 synd.",((G21-F21)+(I21-H21)+(K21-J21)=0)),AC21,0))</f>
        <v>0</v>
      </c>
      <c r="AE21" s="43">
        <f>IF(AND(D21="Jour de pont",((G21-F21)+(I21-H21)+(K21-J21)=0)),VLOOKUP(D21,Systeemgegevens!$J:$K,2,FALSE),0)</f>
        <v>0</v>
      </c>
      <c r="AF21" s="43">
        <f>IF(AND(D21="Jour libre 4/5",AND((G21-F21)+(I21-H21)+(K21-J21)=0)),VLOOKUP(D21,Systeemgegevens!$J:$K,2,FALSE),0)</f>
        <v>0</v>
      </c>
      <c r="AG21" s="118">
        <f>IF(AND(D21&lt;&gt;"",SUM(AB21:AF21)=0,D21&lt;&gt;$AB$4,D21&lt;&gt;$AC$4,D21&lt;&gt;$AE$4,D21&lt;&gt;$AF$4),VLOOKUP(D21,Systeemgegevens!$J:$K,2,FALSE),0)</f>
        <v>0</v>
      </c>
      <c r="AH21" s="119">
        <f t="shared" si="6"/>
        <v>0</v>
      </c>
      <c r="AI21" s="101">
        <f t="shared" si="7"/>
        <v>0</v>
      </c>
      <c r="AJ21" s="118">
        <f t="shared" si="19"/>
        <v>0</v>
      </c>
      <c r="AK21" s="119">
        <f t="shared" si="8"/>
        <v>0</v>
      </c>
      <c r="AL21" s="101">
        <f t="shared" si="9"/>
        <v>0</v>
      </c>
      <c r="AM21" s="43">
        <f t="shared" si="20"/>
        <v>0</v>
      </c>
      <c r="AN21" s="118">
        <f t="shared" si="21"/>
        <v>0</v>
      </c>
      <c r="AO21" s="122">
        <f t="shared" si="10"/>
        <v>0</v>
      </c>
      <c r="AP21" s="107">
        <f t="shared" si="11"/>
        <v>0</v>
      </c>
      <c r="AQ21" s="107">
        <f t="shared" si="12"/>
        <v>0</v>
      </c>
      <c r="AR21" s="123">
        <f t="shared" si="13"/>
        <v>0</v>
      </c>
      <c r="AS21" s="124">
        <f t="shared" si="14"/>
        <v>0</v>
      </c>
      <c r="AT21" s="124">
        <f t="shared" si="15"/>
        <v>0</v>
      </c>
      <c r="AU21" s="124">
        <f t="shared" si="16"/>
        <v>0</v>
      </c>
      <c r="AV21" s="117" t="s">
        <v>24</v>
      </c>
      <c r="AW21" s="129">
        <f>IF(($R$40=AV21)*AND($R$41&lt;&gt;""),VLOOKUP($R$41,'Barèmes police'!$AO$4:$AP$30,2),0)</f>
        <v>0</v>
      </c>
      <c r="AX21" s="16" t="str">
        <f>IF('Types de jours'!F27&lt;&gt;"",'Types de jours'!F27,"")</f>
        <v/>
      </c>
      <c r="AY21" s="144" t="str">
        <f>IF(AX21&lt;&gt;"",'Types de jours'!I27,"")</f>
        <v/>
      </c>
      <c r="AZ21" s="269"/>
      <c r="BA21" s="154"/>
      <c r="BB21" s="154"/>
      <c r="BC21" s="154"/>
      <c r="BD21" s="154"/>
      <c r="BE21" s="154"/>
      <c r="BF21" s="154"/>
    </row>
    <row r="22" spans="1:58" ht="12.75" customHeight="1" x14ac:dyDescent="0.2">
      <c r="A22" s="34"/>
      <c r="B22" s="24" t="str">
        <f t="shared" si="0"/>
        <v>Di</v>
      </c>
      <c r="C22" s="25">
        <f t="shared" si="22"/>
        <v>45550</v>
      </c>
      <c r="D22" s="51"/>
      <c r="E22" s="116"/>
      <c r="F22" s="52"/>
      <c r="G22" s="53"/>
      <c r="H22" s="52"/>
      <c r="I22" s="53"/>
      <c r="J22" s="54"/>
      <c r="K22" s="55"/>
      <c r="L22" s="40">
        <f t="shared" si="1"/>
        <v>0</v>
      </c>
      <c r="M22" s="41">
        <f t="shared" si="23"/>
        <v>0</v>
      </c>
      <c r="N22" s="42">
        <f>IF(AND(D22&lt;&gt;"Jour libre 4/5",B22&lt;&gt;"Sa",B22&lt;&gt;"Di"),SUM(N21,Configuration!$H$41),SUM(N21))</f>
        <v>3.1666666666666661</v>
      </c>
      <c r="O22" s="49" t="str">
        <f t="shared" si="24"/>
        <v>-</v>
      </c>
      <c r="P22" s="143">
        <f t="shared" si="17"/>
        <v>3.1666666666666661</v>
      </c>
      <c r="Q22" s="167">
        <f t="shared" si="18"/>
        <v>0</v>
      </c>
      <c r="R22" s="168">
        <f t="shared" si="18"/>
        <v>0</v>
      </c>
      <c r="S22" s="168">
        <f t="shared" si="18"/>
        <v>0</v>
      </c>
      <c r="T22" s="169">
        <f t="shared" si="18"/>
        <v>0</v>
      </c>
      <c r="U22" s="97">
        <f t="shared" si="2"/>
        <v>0</v>
      </c>
      <c r="V22" s="97">
        <f t="shared" si="3"/>
        <v>0</v>
      </c>
      <c r="W22" s="97">
        <f t="shared" si="4"/>
        <v>0</v>
      </c>
      <c r="X22" s="97">
        <f t="shared" si="5"/>
        <v>0</v>
      </c>
      <c r="Y22" s="209"/>
      <c r="Z22" s="210"/>
      <c r="AA22" s="210"/>
      <c r="AB22" s="128">
        <f>IF(AND(D22="Jour férié semaine",((G22-F22)+(I22-H22)+(K22-J22)=0)),VLOOKUP(D22,Systeemgegevens!$J:$K,2,FALSE),0)</f>
        <v>0</v>
      </c>
      <c r="AC22" s="43">
        <f>IF(AND(NOT(ISERROR(FIND("Congé",D22))),ISERROR(FIND("1/2",D22)),ISERROR(FIND("Synd",D22)),ISERROR(FIND("synd",D22)),(G22-F22+I22-H22+K22-J22)=0),VLOOKUP(D22,Systeemgegevens!$J:$K,2,FALSE),IF(AND(NOT(ISERROR(FIND("1/2 Congé + ",D22))),(G22-F22+I22-H22+K22-J22)=0),VLOOKUP(D22,Systeemgegevens!$J:$K,2,FALSE)/2,IF(AND(NOT(ISERROR(FIND("1/2 Congé",D22))),ISERROR(FIND(" + ",D22)),ISERROR(FIND("1/2 Congé Synd.",D22))),VLOOKUP(D22,Systeemgegevens!$J:$K,2,FALSE),0)))</f>
        <v>0</v>
      </c>
      <c r="AD22" s="43">
        <f>IF(AND(OR(D22="1/2 Congé Synd.",D22="Congé Synd."),((G22-F22)+(I22-H22)+(K22-J22)=0)),VLOOKUP(D22,Systeemgegevens!$J:$K,2,FALSE),IF(AND(D22="1/2 Congé + 1/2 synd.",((G22-F22)+(I22-H22)+(K22-J22)=0)),AC22,0))</f>
        <v>0</v>
      </c>
      <c r="AE22" s="43">
        <f>IF(AND(D22="Jour de pont",((G22-F22)+(I22-H22)+(K22-J22)=0)),VLOOKUP(D22,Systeemgegevens!$J:$K,2,FALSE),0)</f>
        <v>0</v>
      </c>
      <c r="AF22" s="43">
        <f>IF(AND(D22="Jour libre 4/5",AND((G22-F22)+(I22-H22)+(K22-J22)=0)),VLOOKUP(D22,Systeemgegevens!$J:$K,2,FALSE),0)</f>
        <v>0</v>
      </c>
      <c r="AG22" s="118">
        <f>IF(AND(D22&lt;&gt;"",SUM(AB22:AF22)=0,D22&lt;&gt;$AB$4,D22&lt;&gt;$AC$4,D22&lt;&gt;$AE$4,D22&lt;&gt;$AF$4),VLOOKUP(D22,Systeemgegevens!$J:$K,2,FALSE),0)</f>
        <v>0</v>
      </c>
      <c r="AH22" s="119">
        <f t="shared" si="6"/>
        <v>0</v>
      </c>
      <c r="AI22" s="101">
        <f t="shared" si="7"/>
        <v>0</v>
      </c>
      <c r="AJ22" s="118">
        <f t="shared" si="19"/>
        <v>0</v>
      </c>
      <c r="AK22" s="119">
        <f t="shared" si="8"/>
        <v>0</v>
      </c>
      <c r="AL22" s="101">
        <f t="shared" si="9"/>
        <v>0</v>
      </c>
      <c r="AM22" s="43">
        <f t="shared" si="20"/>
        <v>0</v>
      </c>
      <c r="AN22" s="118">
        <f t="shared" si="21"/>
        <v>0</v>
      </c>
      <c r="AO22" s="122">
        <f t="shared" si="10"/>
        <v>0</v>
      </c>
      <c r="AP22" s="107">
        <f t="shared" si="11"/>
        <v>0</v>
      </c>
      <c r="AQ22" s="107">
        <f t="shared" si="12"/>
        <v>0</v>
      </c>
      <c r="AR22" s="123">
        <f t="shared" si="13"/>
        <v>0</v>
      </c>
      <c r="AS22" s="124">
        <f t="shared" si="14"/>
        <v>0</v>
      </c>
      <c r="AT22" s="124">
        <f t="shared" si="15"/>
        <v>0</v>
      </c>
      <c r="AU22" s="124">
        <f t="shared" si="16"/>
        <v>0</v>
      </c>
      <c r="AV22" s="117" t="s">
        <v>23</v>
      </c>
      <c r="AW22" s="129">
        <f>IF(($R$40=AV22)*AND($R$41&lt;&gt;""),VLOOKUP($R$41,'Barèmes police'!$AR$4:$AS$30,2),0)</f>
        <v>0</v>
      </c>
      <c r="AX22" s="16" t="str">
        <f>IF('Types de jours'!F28&lt;&gt;"",'Types de jours'!F28,"")</f>
        <v/>
      </c>
      <c r="AY22" s="144" t="str">
        <f>IF(AX22&lt;&gt;"",'Types de jours'!I28,"")</f>
        <v/>
      </c>
      <c r="AZ22" s="269"/>
      <c r="BA22" s="154"/>
      <c r="BB22" s="154"/>
      <c r="BC22" s="154"/>
      <c r="BD22" s="154"/>
      <c r="BE22" s="154"/>
      <c r="BF22" s="154"/>
    </row>
    <row r="23" spans="1:58" ht="12.75" customHeight="1" x14ac:dyDescent="0.2">
      <c r="A23" s="34"/>
      <c r="B23" s="24" t="str">
        <f t="shared" si="0"/>
        <v>Lu</v>
      </c>
      <c r="C23" s="25">
        <f t="shared" si="22"/>
        <v>45551</v>
      </c>
      <c r="D23" s="51"/>
      <c r="E23" s="116"/>
      <c r="F23" s="52"/>
      <c r="G23" s="53"/>
      <c r="H23" s="52"/>
      <c r="I23" s="53"/>
      <c r="J23" s="54"/>
      <c r="K23" s="55"/>
      <c r="L23" s="40">
        <f t="shared" si="1"/>
        <v>0</v>
      </c>
      <c r="M23" s="41">
        <f t="shared" si="23"/>
        <v>0</v>
      </c>
      <c r="N23" s="42">
        <f>IF(AND(D23&lt;&gt;"Jour libre 4/5",B23&lt;&gt;"Sa",B23&lt;&gt;"Di"),SUM(N22,Configuration!$H$41),SUM(N22))</f>
        <v>3.4833333333333325</v>
      </c>
      <c r="O23" s="49" t="str">
        <f t="shared" si="24"/>
        <v>-</v>
      </c>
      <c r="P23" s="143">
        <f t="shared" si="17"/>
        <v>3.4833333333333325</v>
      </c>
      <c r="Q23" s="167">
        <f t="shared" si="18"/>
        <v>0</v>
      </c>
      <c r="R23" s="168">
        <f t="shared" si="18"/>
        <v>0</v>
      </c>
      <c r="S23" s="168">
        <f t="shared" si="18"/>
        <v>0</v>
      </c>
      <c r="T23" s="169">
        <f t="shared" si="18"/>
        <v>0</v>
      </c>
      <c r="U23" s="97">
        <f t="shared" si="2"/>
        <v>0</v>
      </c>
      <c r="V23" s="97">
        <f t="shared" si="3"/>
        <v>0</v>
      </c>
      <c r="W23" s="97">
        <f t="shared" si="4"/>
        <v>0</v>
      </c>
      <c r="X23" s="97">
        <f t="shared" si="5"/>
        <v>0</v>
      </c>
      <c r="Y23" s="209"/>
      <c r="Z23" s="210"/>
      <c r="AA23" s="210"/>
      <c r="AB23" s="128">
        <f>IF(AND(D23="Jour férié semaine",((G23-F23)+(I23-H23)+(K23-J23)=0)),VLOOKUP(D23,Systeemgegevens!$J:$K,2,FALSE),0)</f>
        <v>0</v>
      </c>
      <c r="AC23" s="43">
        <f>IF(AND(NOT(ISERROR(FIND("Congé",D23))),ISERROR(FIND("1/2",D23)),ISERROR(FIND("Synd",D23)),ISERROR(FIND("synd",D23)),(G23-F23+I23-H23+K23-J23)=0),VLOOKUP(D23,Systeemgegevens!$J:$K,2,FALSE),IF(AND(NOT(ISERROR(FIND("1/2 Congé + ",D23))),(G23-F23+I23-H23+K23-J23)=0),VLOOKUP(D23,Systeemgegevens!$J:$K,2,FALSE)/2,IF(AND(NOT(ISERROR(FIND("1/2 Congé",D23))),ISERROR(FIND(" + ",D23)),ISERROR(FIND("1/2 Congé Synd.",D23))),VLOOKUP(D23,Systeemgegevens!$J:$K,2,FALSE),0)))</f>
        <v>0</v>
      </c>
      <c r="AD23" s="43">
        <f>IF(AND(OR(D23="1/2 Congé Synd.",D23="Congé Synd."),((G23-F23)+(I23-H23)+(K23-J23)=0)),VLOOKUP(D23,Systeemgegevens!$J:$K,2,FALSE),IF(AND(D23="1/2 Congé + 1/2 synd.",((G23-F23)+(I23-H23)+(K23-J23)=0)),AC23,0))</f>
        <v>0</v>
      </c>
      <c r="AE23" s="43">
        <f>IF(AND(D23="Jour de pont",((G23-F23)+(I23-H23)+(K23-J23)=0)),VLOOKUP(D23,Systeemgegevens!$J:$K,2,FALSE),0)</f>
        <v>0</v>
      </c>
      <c r="AF23" s="43">
        <f>IF(AND(D23="Jour libre 4/5",AND((G23-F23)+(I23-H23)+(K23-J23)=0)),VLOOKUP(D23,Systeemgegevens!$J:$K,2,FALSE),0)</f>
        <v>0</v>
      </c>
      <c r="AG23" s="118">
        <f>IF(AND(D23&lt;&gt;"",SUM(AB23:AF23)=0,D23&lt;&gt;$AB$4,D23&lt;&gt;$AC$4,D23&lt;&gt;$AE$4,D23&lt;&gt;$AF$4),VLOOKUP(D23,Systeemgegevens!$J:$K,2,FALSE),0)</f>
        <v>0</v>
      </c>
      <c r="AH23" s="119">
        <f t="shared" si="6"/>
        <v>0</v>
      </c>
      <c r="AI23" s="101">
        <f t="shared" si="7"/>
        <v>0</v>
      </c>
      <c r="AJ23" s="118">
        <f t="shared" si="19"/>
        <v>0</v>
      </c>
      <c r="AK23" s="119">
        <f t="shared" si="8"/>
        <v>0</v>
      </c>
      <c r="AL23" s="101">
        <f t="shared" si="9"/>
        <v>0</v>
      </c>
      <c r="AM23" s="43">
        <f t="shared" si="20"/>
        <v>0</v>
      </c>
      <c r="AN23" s="118">
        <f t="shared" si="21"/>
        <v>0</v>
      </c>
      <c r="AO23" s="122">
        <f t="shared" si="10"/>
        <v>0</v>
      </c>
      <c r="AP23" s="107">
        <f t="shared" si="11"/>
        <v>0</v>
      </c>
      <c r="AQ23" s="107">
        <f t="shared" si="12"/>
        <v>0</v>
      </c>
      <c r="AR23" s="123">
        <f t="shared" si="13"/>
        <v>0</v>
      </c>
      <c r="AS23" s="124">
        <f t="shared" si="14"/>
        <v>0</v>
      </c>
      <c r="AT23" s="124">
        <f t="shared" si="15"/>
        <v>0</v>
      </c>
      <c r="AU23" s="124">
        <f t="shared" si="16"/>
        <v>0</v>
      </c>
      <c r="AV23" s="117" t="s">
        <v>22</v>
      </c>
      <c r="AW23" s="129">
        <f>IF(($R$40=AV23)*AND($R$41&lt;&gt;""),VLOOKUP($R$41,'Barèmes police'!$AU$4:$AV$34,2),0)</f>
        <v>0</v>
      </c>
      <c r="AX23" s="16" t="str">
        <f>IF('Types de jours'!F29&lt;&gt;"",'Types de jours'!F29,"")</f>
        <v/>
      </c>
      <c r="AY23" s="144" t="str">
        <f>IF(AX23&lt;&gt;"",'Types de jours'!I29,"")</f>
        <v/>
      </c>
      <c r="AZ23" s="269"/>
      <c r="BA23" s="154"/>
      <c r="BB23" s="154"/>
      <c r="BC23" s="154"/>
      <c r="BD23" s="154"/>
      <c r="BE23" s="154"/>
      <c r="BF23" s="154"/>
    </row>
    <row r="24" spans="1:58" ht="12.75" customHeight="1" x14ac:dyDescent="0.2">
      <c r="A24" s="34"/>
      <c r="B24" s="24" t="str">
        <f t="shared" si="0"/>
        <v>Ma</v>
      </c>
      <c r="C24" s="25">
        <f t="shared" si="22"/>
        <v>45552</v>
      </c>
      <c r="D24" s="51"/>
      <c r="E24" s="116"/>
      <c r="F24" s="52"/>
      <c r="G24" s="53"/>
      <c r="H24" s="52"/>
      <c r="I24" s="53"/>
      <c r="J24" s="54"/>
      <c r="K24" s="55"/>
      <c r="L24" s="40">
        <f t="shared" si="1"/>
        <v>0</v>
      </c>
      <c r="M24" s="41">
        <f t="shared" si="23"/>
        <v>0</v>
      </c>
      <c r="N24" s="42">
        <f>IF(AND(D24&lt;&gt;"Jour libre 4/5",B24&lt;&gt;"Sa",B24&lt;&gt;"Di"),SUM(N23,Configuration!$H$41),SUM(N23))</f>
        <v>3.7999999999999989</v>
      </c>
      <c r="O24" s="49" t="str">
        <f t="shared" si="24"/>
        <v>-</v>
      </c>
      <c r="P24" s="143">
        <f t="shared" si="17"/>
        <v>3.7999999999999989</v>
      </c>
      <c r="Q24" s="167">
        <f t="shared" si="18"/>
        <v>0</v>
      </c>
      <c r="R24" s="168">
        <f t="shared" si="18"/>
        <v>0</v>
      </c>
      <c r="S24" s="168">
        <f t="shared" si="18"/>
        <v>0</v>
      </c>
      <c r="T24" s="169">
        <f t="shared" si="18"/>
        <v>0</v>
      </c>
      <c r="U24" s="97">
        <f t="shared" si="2"/>
        <v>0</v>
      </c>
      <c r="V24" s="97">
        <f t="shared" si="3"/>
        <v>0</v>
      </c>
      <c r="W24" s="97">
        <f t="shared" si="4"/>
        <v>0</v>
      </c>
      <c r="X24" s="97">
        <f t="shared" si="5"/>
        <v>0</v>
      </c>
      <c r="Y24" s="209"/>
      <c r="Z24" s="210"/>
      <c r="AA24" s="210"/>
      <c r="AB24" s="128">
        <f>IF(AND(D24="Jour férié semaine",((G24-F24)+(I24-H24)+(K24-J24)=0)),VLOOKUP(D24,Systeemgegevens!$J:$K,2,FALSE),0)</f>
        <v>0</v>
      </c>
      <c r="AC24" s="43">
        <f>IF(AND(NOT(ISERROR(FIND("Congé",D24))),ISERROR(FIND("1/2",D24)),ISERROR(FIND("Synd",D24)),ISERROR(FIND("synd",D24)),(G24-F24+I24-H24+K24-J24)=0),VLOOKUP(D24,Systeemgegevens!$J:$K,2,FALSE),IF(AND(NOT(ISERROR(FIND("1/2 Congé + ",D24))),(G24-F24+I24-H24+K24-J24)=0),VLOOKUP(D24,Systeemgegevens!$J:$K,2,FALSE)/2,IF(AND(NOT(ISERROR(FIND("1/2 Congé",D24))),ISERROR(FIND(" + ",D24)),ISERROR(FIND("1/2 Congé Synd.",D24))),VLOOKUP(D24,Systeemgegevens!$J:$K,2,FALSE),0)))</f>
        <v>0</v>
      </c>
      <c r="AD24" s="43">
        <f>IF(AND(OR(D24="1/2 Congé Synd.",D24="Congé Synd."),((G24-F24)+(I24-H24)+(K24-J24)=0)),VLOOKUP(D24,Systeemgegevens!$J:$K,2,FALSE),IF(AND(D24="1/2 Congé + 1/2 synd.",((G24-F24)+(I24-H24)+(K24-J24)=0)),AC24,0))</f>
        <v>0</v>
      </c>
      <c r="AE24" s="43">
        <f>IF(AND(D24="Jour de pont",((G24-F24)+(I24-H24)+(K24-J24)=0)),VLOOKUP(D24,Systeemgegevens!$J:$K,2,FALSE),0)</f>
        <v>0</v>
      </c>
      <c r="AF24" s="43">
        <f>IF(AND(D24="Jour libre 4/5",AND((G24-F24)+(I24-H24)+(K24-J24)=0)),VLOOKUP(D24,Systeemgegevens!$J:$K,2,FALSE),0)</f>
        <v>0</v>
      </c>
      <c r="AG24" s="118">
        <f>IF(AND(D24&lt;&gt;"",SUM(AB24:AF24)=0,D24&lt;&gt;$AB$4,D24&lt;&gt;$AC$4,D24&lt;&gt;$AE$4,D24&lt;&gt;$AF$4),VLOOKUP(D24,Systeemgegevens!$J:$K,2,FALSE),0)</f>
        <v>0</v>
      </c>
      <c r="AH24" s="119">
        <f t="shared" si="6"/>
        <v>0</v>
      </c>
      <c r="AI24" s="101">
        <f t="shared" si="7"/>
        <v>0</v>
      </c>
      <c r="AJ24" s="118">
        <f t="shared" si="19"/>
        <v>0</v>
      </c>
      <c r="AK24" s="119">
        <f t="shared" si="8"/>
        <v>0</v>
      </c>
      <c r="AL24" s="101">
        <f t="shared" si="9"/>
        <v>0</v>
      </c>
      <c r="AM24" s="43">
        <f t="shared" si="20"/>
        <v>0</v>
      </c>
      <c r="AN24" s="118">
        <f t="shared" si="21"/>
        <v>0</v>
      </c>
      <c r="AO24" s="122">
        <f t="shared" si="10"/>
        <v>0</v>
      </c>
      <c r="AP24" s="107">
        <f t="shared" si="11"/>
        <v>0</v>
      </c>
      <c r="AQ24" s="107">
        <f t="shared" si="12"/>
        <v>0</v>
      </c>
      <c r="AR24" s="123">
        <f t="shared" si="13"/>
        <v>0</v>
      </c>
      <c r="AS24" s="124">
        <f t="shared" si="14"/>
        <v>0</v>
      </c>
      <c r="AT24" s="124">
        <f t="shared" si="15"/>
        <v>0</v>
      </c>
      <c r="AU24" s="124">
        <f t="shared" si="16"/>
        <v>0</v>
      </c>
      <c r="AV24" s="117" t="s">
        <v>21</v>
      </c>
      <c r="AW24" s="129">
        <f>IF(($R$40=AV24)*AND($R$41&lt;&gt;""),VLOOKUP($R$41,'Barèmes police'!$AX$4:$AY$30,2),0)</f>
        <v>0</v>
      </c>
      <c r="AX24" s="16" t="str">
        <f>IF('Types de jours'!F30&lt;&gt;"",'Types de jours'!F30,"")</f>
        <v/>
      </c>
      <c r="AY24" s="144" t="str">
        <f>IF(AX24&lt;&gt;"",'Types de jours'!I30,"")</f>
        <v/>
      </c>
      <c r="AZ24" s="269"/>
      <c r="BA24" s="154"/>
      <c r="BB24" s="154"/>
      <c r="BC24" s="154"/>
      <c r="BD24" s="154"/>
      <c r="BE24" s="154"/>
      <c r="BF24" s="154"/>
    </row>
    <row r="25" spans="1:58" ht="12.75" customHeight="1" x14ac:dyDescent="0.2">
      <c r="A25" s="34"/>
      <c r="B25" s="24" t="str">
        <f t="shared" si="0"/>
        <v>Me</v>
      </c>
      <c r="C25" s="25">
        <f t="shared" si="22"/>
        <v>45553</v>
      </c>
      <c r="D25" s="51"/>
      <c r="E25" s="116"/>
      <c r="F25" s="52"/>
      <c r="G25" s="53"/>
      <c r="H25" s="52"/>
      <c r="I25" s="53"/>
      <c r="J25" s="54"/>
      <c r="K25" s="55"/>
      <c r="L25" s="40">
        <f t="shared" si="1"/>
        <v>0</v>
      </c>
      <c r="M25" s="41">
        <f t="shared" si="23"/>
        <v>0</v>
      </c>
      <c r="N25" s="42">
        <f>IF(AND(D25&lt;&gt;"Jour libre 4/5",B25&lt;&gt;"Sa",B25&lt;&gt;"Di"),SUM(N24,Configuration!$H$41),SUM(N24))</f>
        <v>4.1166666666666654</v>
      </c>
      <c r="O25" s="49" t="str">
        <f t="shared" si="24"/>
        <v>-</v>
      </c>
      <c r="P25" s="143">
        <f t="shared" si="17"/>
        <v>4.1166666666666654</v>
      </c>
      <c r="Q25" s="167">
        <f t="shared" si="18"/>
        <v>0</v>
      </c>
      <c r="R25" s="168">
        <f t="shared" si="18"/>
        <v>0</v>
      </c>
      <c r="S25" s="168">
        <f t="shared" si="18"/>
        <v>0</v>
      </c>
      <c r="T25" s="169">
        <f t="shared" si="18"/>
        <v>0</v>
      </c>
      <c r="U25" s="97">
        <f t="shared" si="2"/>
        <v>0</v>
      </c>
      <c r="V25" s="97">
        <f t="shared" si="3"/>
        <v>0</v>
      </c>
      <c r="W25" s="97">
        <f t="shared" si="4"/>
        <v>0</v>
      </c>
      <c r="X25" s="97">
        <f t="shared" si="5"/>
        <v>0</v>
      </c>
      <c r="Y25" s="209"/>
      <c r="Z25" s="210"/>
      <c r="AA25" s="210"/>
      <c r="AB25" s="128">
        <f>IF(AND(D25="Jour férié semaine",((G25-F25)+(I25-H25)+(K25-J25)=0)),VLOOKUP(D25,Systeemgegevens!$J:$K,2,FALSE),0)</f>
        <v>0</v>
      </c>
      <c r="AC25" s="43">
        <f>IF(AND(NOT(ISERROR(FIND("Congé",D25))),ISERROR(FIND("1/2",D25)),ISERROR(FIND("Synd",D25)),ISERROR(FIND("synd",D25)),(G25-F25+I25-H25+K25-J25)=0),VLOOKUP(D25,Systeemgegevens!$J:$K,2,FALSE),IF(AND(NOT(ISERROR(FIND("1/2 Congé + ",D25))),(G25-F25+I25-H25+K25-J25)=0),VLOOKUP(D25,Systeemgegevens!$J:$K,2,FALSE)/2,IF(AND(NOT(ISERROR(FIND("1/2 Congé",D25))),ISERROR(FIND(" + ",D25)),ISERROR(FIND("1/2 Congé Synd.",D25))),VLOOKUP(D25,Systeemgegevens!$J:$K,2,FALSE),0)))</f>
        <v>0</v>
      </c>
      <c r="AD25" s="43">
        <f>IF(AND(OR(D25="1/2 Congé Synd.",D25="Congé Synd."),((G25-F25)+(I25-H25)+(K25-J25)=0)),VLOOKUP(D25,Systeemgegevens!$J:$K,2,FALSE),IF(AND(D25="1/2 Congé + 1/2 synd.",((G25-F25)+(I25-H25)+(K25-J25)=0)),AC25,0))</f>
        <v>0</v>
      </c>
      <c r="AE25" s="43">
        <f>IF(AND(D25="Jour de pont",((G25-F25)+(I25-H25)+(K25-J25)=0)),VLOOKUP(D25,Systeemgegevens!$J:$K,2,FALSE),0)</f>
        <v>0</v>
      </c>
      <c r="AF25" s="43">
        <f>IF(AND(D25="Jour libre 4/5",AND((G25-F25)+(I25-H25)+(K25-J25)=0)),VLOOKUP(D25,Systeemgegevens!$J:$K,2,FALSE),0)</f>
        <v>0</v>
      </c>
      <c r="AG25" s="118">
        <f>IF(AND(D25&lt;&gt;"",SUM(AB25:AF25)=0,D25&lt;&gt;$AB$4,D25&lt;&gt;$AC$4,D25&lt;&gt;$AE$4,D25&lt;&gt;$AF$4),VLOOKUP(D25,Systeemgegevens!$J:$K,2,FALSE),0)</f>
        <v>0</v>
      </c>
      <c r="AH25" s="119">
        <f t="shared" si="6"/>
        <v>0</v>
      </c>
      <c r="AI25" s="101">
        <f t="shared" si="7"/>
        <v>0</v>
      </c>
      <c r="AJ25" s="118">
        <f t="shared" si="19"/>
        <v>0</v>
      </c>
      <c r="AK25" s="119">
        <f t="shared" si="8"/>
        <v>0</v>
      </c>
      <c r="AL25" s="101">
        <f t="shared" si="9"/>
        <v>0</v>
      </c>
      <c r="AM25" s="43">
        <f t="shared" si="20"/>
        <v>0</v>
      </c>
      <c r="AN25" s="118">
        <f t="shared" si="21"/>
        <v>0</v>
      </c>
      <c r="AO25" s="122">
        <f t="shared" si="10"/>
        <v>0</v>
      </c>
      <c r="AP25" s="107">
        <f t="shared" si="11"/>
        <v>0</v>
      </c>
      <c r="AQ25" s="107">
        <f t="shared" si="12"/>
        <v>0</v>
      </c>
      <c r="AR25" s="123">
        <f t="shared" si="13"/>
        <v>0</v>
      </c>
      <c r="AS25" s="124">
        <f t="shared" si="14"/>
        <v>0</v>
      </c>
      <c r="AT25" s="124">
        <f t="shared" si="15"/>
        <v>0</v>
      </c>
      <c r="AU25" s="124">
        <f t="shared" si="16"/>
        <v>0</v>
      </c>
      <c r="AV25" s="117" t="s">
        <v>20</v>
      </c>
      <c r="AW25" s="129">
        <f>IF(($R$40=AV25)*AND($R$41&lt;&gt;""),VLOOKUP($R$41,'Barèmes police'!$BA$4:$BB$34,2),0)</f>
        <v>0</v>
      </c>
      <c r="AX25" s="16" t="str">
        <f>IF('Types de jours'!F31&lt;&gt;"",'Types de jours'!F31,"")</f>
        <v/>
      </c>
      <c r="AY25" s="144" t="str">
        <f>IF(AX25&lt;&gt;"",'Types de jours'!I31,"")</f>
        <v/>
      </c>
      <c r="AZ25" s="269"/>
      <c r="BA25" s="154"/>
      <c r="BB25" s="154"/>
      <c r="BC25" s="154"/>
      <c r="BD25" s="154"/>
      <c r="BE25" s="154"/>
      <c r="BF25" s="154"/>
    </row>
    <row r="26" spans="1:58" ht="12.75" customHeight="1" x14ac:dyDescent="0.2">
      <c r="A26" s="34"/>
      <c r="B26" s="24" t="str">
        <f t="shared" si="0"/>
        <v>Je</v>
      </c>
      <c r="C26" s="25">
        <f t="shared" si="22"/>
        <v>45554</v>
      </c>
      <c r="D26" s="51"/>
      <c r="E26" s="116"/>
      <c r="F26" s="52"/>
      <c r="G26" s="53"/>
      <c r="H26" s="54"/>
      <c r="I26" s="55"/>
      <c r="J26" s="54"/>
      <c r="K26" s="55"/>
      <c r="L26" s="40">
        <f t="shared" si="1"/>
        <v>0</v>
      </c>
      <c r="M26" s="41">
        <f t="shared" si="23"/>
        <v>0</v>
      </c>
      <c r="N26" s="42">
        <f>IF(AND(D26&lt;&gt;"Jour libre 4/5",B26&lt;&gt;"Sa",B26&lt;&gt;"Di"),SUM(N25,Configuration!$H$41),SUM(N25))</f>
        <v>4.4333333333333318</v>
      </c>
      <c r="O26" s="49" t="str">
        <f t="shared" si="24"/>
        <v>-</v>
      </c>
      <c r="P26" s="143">
        <f t="shared" si="17"/>
        <v>4.4333333333333318</v>
      </c>
      <c r="Q26" s="167">
        <f t="shared" si="18"/>
        <v>0</v>
      </c>
      <c r="R26" s="168">
        <f t="shared" si="18"/>
        <v>0</v>
      </c>
      <c r="S26" s="168">
        <f t="shared" si="18"/>
        <v>0</v>
      </c>
      <c r="T26" s="169">
        <f t="shared" si="18"/>
        <v>0</v>
      </c>
      <c r="U26" s="97">
        <f t="shared" si="2"/>
        <v>0</v>
      </c>
      <c r="V26" s="97">
        <f t="shared" si="3"/>
        <v>0</v>
      </c>
      <c r="W26" s="97">
        <f t="shared" si="4"/>
        <v>0</v>
      </c>
      <c r="X26" s="97">
        <f t="shared" si="5"/>
        <v>0</v>
      </c>
      <c r="Y26" s="209"/>
      <c r="Z26" s="210"/>
      <c r="AA26" s="210"/>
      <c r="AB26" s="128">
        <f>IF(AND(D26="Jour férié semaine",((G26-F26)+(I26-H26)+(K26-J26)=0)),VLOOKUP(D26,Systeemgegevens!$J:$K,2,FALSE),0)</f>
        <v>0</v>
      </c>
      <c r="AC26" s="43">
        <f>IF(AND(NOT(ISERROR(FIND("Congé",D26))),ISERROR(FIND("1/2",D26)),ISERROR(FIND("Synd",D26)),ISERROR(FIND("synd",D26)),(G26-F26+I26-H26+K26-J26)=0),VLOOKUP(D26,Systeemgegevens!$J:$K,2,FALSE),IF(AND(NOT(ISERROR(FIND("1/2 Congé + ",D26))),(G26-F26+I26-H26+K26-J26)=0),VLOOKUP(D26,Systeemgegevens!$J:$K,2,FALSE)/2,IF(AND(NOT(ISERROR(FIND("1/2 Congé",D26))),ISERROR(FIND(" + ",D26)),ISERROR(FIND("1/2 Congé Synd.",D26))),VLOOKUP(D26,Systeemgegevens!$J:$K,2,FALSE),0)))</f>
        <v>0</v>
      </c>
      <c r="AD26" s="43">
        <f>IF(AND(OR(D26="1/2 Congé Synd.",D26="Congé Synd."),((G26-F26)+(I26-H26)+(K26-J26)=0)),VLOOKUP(D26,Systeemgegevens!$J:$K,2,FALSE),IF(AND(D26="1/2 Congé + 1/2 synd.",((G26-F26)+(I26-H26)+(K26-J26)=0)),AC26,0))</f>
        <v>0</v>
      </c>
      <c r="AE26" s="43">
        <f>IF(AND(D26="Jour de pont",((G26-F26)+(I26-H26)+(K26-J26)=0)),VLOOKUP(D26,Systeemgegevens!$J:$K,2,FALSE),0)</f>
        <v>0</v>
      </c>
      <c r="AF26" s="43">
        <f>IF(AND(D26="Jour libre 4/5",AND((G26-F26)+(I26-H26)+(K26-J26)=0)),VLOOKUP(D26,Systeemgegevens!$J:$K,2,FALSE),0)</f>
        <v>0</v>
      </c>
      <c r="AG26" s="118">
        <f>IF(AND(D26&lt;&gt;"",SUM(AB26:AF26)=0,D26&lt;&gt;$AB$4,D26&lt;&gt;$AC$4,D26&lt;&gt;$AE$4,D26&lt;&gt;$AF$4),VLOOKUP(D26,Systeemgegevens!$J:$K,2,FALSE),0)</f>
        <v>0</v>
      </c>
      <c r="AH26" s="119">
        <f t="shared" si="6"/>
        <v>0</v>
      </c>
      <c r="AI26" s="101">
        <f t="shared" si="7"/>
        <v>0</v>
      </c>
      <c r="AJ26" s="118">
        <f t="shared" si="19"/>
        <v>0</v>
      </c>
      <c r="AK26" s="119">
        <f t="shared" si="8"/>
        <v>0</v>
      </c>
      <c r="AL26" s="101">
        <f t="shared" si="9"/>
        <v>0</v>
      </c>
      <c r="AM26" s="43">
        <f t="shared" si="20"/>
        <v>0</v>
      </c>
      <c r="AN26" s="118">
        <f t="shared" si="21"/>
        <v>0</v>
      </c>
      <c r="AO26" s="122">
        <f t="shared" si="10"/>
        <v>0</v>
      </c>
      <c r="AP26" s="107">
        <f t="shared" si="11"/>
        <v>0</v>
      </c>
      <c r="AQ26" s="107">
        <f t="shared" si="12"/>
        <v>0</v>
      </c>
      <c r="AR26" s="123">
        <f t="shared" si="13"/>
        <v>0</v>
      </c>
      <c r="AS26" s="124">
        <f t="shared" si="14"/>
        <v>0</v>
      </c>
      <c r="AT26" s="124">
        <f t="shared" si="15"/>
        <v>0</v>
      </c>
      <c r="AU26" s="124">
        <f t="shared" si="16"/>
        <v>0</v>
      </c>
      <c r="AV26" s="117" t="s">
        <v>19</v>
      </c>
      <c r="AW26" s="129">
        <f>IF(($R$40=AV26)*AND($R$41&lt;&gt;""),VLOOKUP($R$41,'Barèmes police'!$BD$4:$BE$30,2),0)</f>
        <v>0</v>
      </c>
      <c r="AX26" s="16" t="str">
        <f>IF('Types de jours'!F32&lt;&gt;"",'Types de jours'!F32,"")</f>
        <v/>
      </c>
      <c r="AY26" s="144" t="str">
        <f>IF(AX26&lt;&gt;"",'Types de jours'!I32,"")</f>
        <v/>
      </c>
      <c r="AZ26" s="269"/>
      <c r="BA26" s="154"/>
      <c r="BB26" s="154"/>
      <c r="BC26" s="154"/>
      <c r="BD26" s="154"/>
      <c r="BE26" s="154"/>
      <c r="BF26" s="154"/>
    </row>
    <row r="27" spans="1:58" ht="12.75" customHeight="1" x14ac:dyDescent="0.2">
      <c r="A27" s="34"/>
      <c r="B27" s="24" t="str">
        <f t="shared" si="0"/>
        <v>Ve</v>
      </c>
      <c r="C27" s="25">
        <f t="shared" si="22"/>
        <v>45555</v>
      </c>
      <c r="D27" s="51"/>
      <c r="E27" s="116"/>
      <c r="F27" s="52"/>
      <c r="G27" s="53"/>
      <c r="H27" s="54"/>
      <c r="I27" s="55"/>
      <c r="J27" s="54"/>
      <c r="K27" s="55"/>
      <c r="L27" s="40">
        <f t="shared" si="1"/>
        <v>0</v>
      </c>
      <c r="M27" s="41">
        <f t="shared" si="23"/>
        <v>0</v>
      </c>
      <c r="N27" s="42">
        <f>IF(AND(D27&lt;&gt;"Jour libre 4/5",B27&lt;&gt;"Sa",B27&lt;&gt;"Di"),SUM(N26,Configuration!$H$41),SUM(N26))</f>
        <v>4.7499999999999982</v>
      </c>
      <c r="O27" s="49" t="str">
        <f t="shared" si="24"/>
        <v>-</v>
      </c>
      <c r="P27" s="143">
        <f t="shared" si="17"/>
        <v>4.7499999999999982</v>
      </c>
      <c r="Q27" s="167">
        <f t="shared" si="18"/>
        <v>0</v>
      </c>
      <c r="R27" s="168">
        <f t="shared" si="18"/>
        <v>0</v>
      </c>
      <c r="S27" s="168">
        <f t="shared" si="18"/>
        <v>0</v>
      </c>
      <c r="T27" s="169">
        <f t="shared" si="18"/>
        <v>0</v>
      </c>
      <c r="U27" s="97">
        <f t="shared" si="2"/>
        <v>0</v>
      </c>
      <c r="V27" s="97">
        <f t="shared" si="3"/>
        <v>0</v>
      </c>
      <c r="W27" s="97">
        <f t="shared" si="4"/>
        <v>0</v>
      </c>
      <c r="X27" s="97">
        <f t="shared" si="5"/>
        <v>0</v>
      </c>
      <c r="Y27" s="209"/>
      <c r="Z27" s="210"/>
      <c r="AA27" s="210"/>
      <c r="AB27" s="128">
        <f>IF(AND(D27="Jour férié semaine",((G27-F27)+(I27-H27)+(K27-J27)=0)),VLOOKUP(D27,Systeemgegevens!$J:$K,2,FALSE),0)</f>
        <v>0</v>
      </c>
      <c r="AC27" s="43">
        <f>IF(AND(NOT(ISERROR(FIND("Congé",D27))),ISERROR(FIND("1/2",D27)),ISERROR(FIND("Synd",D27)),ISERROR(FIND("synd",D27)),(G27-F27+I27-H27+K27-J27)=0),VLOOKUP(D27,Systeemgegevens!$J:$K,2,FALSE),IF(AND(NOT(ISERROR(FIND("1/2 Congé + ",D27))),(G27-F27+I27-H27+K27-J27)=0),VLOOKUP(D27,Systeemgegevens!$J:$K,2,FALSE)/2,IF(AND(NOT(ISERROR(FIND("1/2 Congé",D27))),ISERROR(FIND(" + ",D27)),ISERROR(FIND("1/2 Congé Synd.",D27))),VLOOKUP(D27,Systeemgegevens!$J:$K,2,FALSE),0)))</f>
        <v>0</v>
      </c>
      <c r="AD27" s="43">
        <f>IF(AND(OR(D27="1/2 Congé Synd.",D27="Congé Synd."),((G27-F27)+(I27-H27)+(K27-J27)=0)),VLOOKUP(D27,Systeemgegevens!$J:$K,2,FALSE),IF(AND(D27="1/2 Congé + 1/2 synd.",((G27-F27)+(I27-H27)+(K27-J27)=0)),AC27,0))</f>
        <v>0</v>
      </c>
      <c r="AE27" s="43">
        <f>IF(AND(D27="Jour de pont",((G27-F27)+(I27-H27)+(K27-J27)=0)),VLOOKUP(D27,Systeemgegevens!$J:$K,2,FALSE),0)</f>
        <v>0</v>
      </c>
      <c r="AF27" s="43">
        <f>IF(AND(D27="Jour libre 4/5",AND((G27-F27)+(I27-H27)+(K27-J27)=0)),VLOOKUP(D27,Systeemgegevens!$J:$K,2,FALSE),0)</f>
        <v>0</v>
      </c>
      <c r="AG27" s="118">
        <f>IF(AND(D27&lt;&gt;"",SUM(AB27:AF27)=0,D27&lt;&gt;$AB$4,D27&lt;&gt;$AC$4,D27&lt;&gt;$AE$4,D27&lt;&gt;$AF$4),VLOOKUP(D27,Systeemgegevens!$J:$K,2,FALSE),0)</f>
        <v>0</v>
      </c>
      <c r="AH27" s="119">
        <f t="shared" si="6"/>
        <v>0</v>
      </c>
      <c r="AI27" s="101">
        <f t="shared" si="7"/>
        <v>0</v>
      </c>
      <c r="AJ27" s="118">
        <f t="shared" si="19"/>
        <v>0</v>
      </c>
      <c r="AK27" s="119">
        <f t="shared" si="8"/>
        <v>0</v>
      </c>
      <c r="AL27" s="101">
        <f t="shared" si="9"/>
        <v>0</v>
      </c>
      <c r="AM27" s="43">
        <f t="shared" si="20"/>
        <v>0</v>
      </c>
      <c r="AN27" s="118">
        <f t="shared" si="21"/>
        <v>0</v>
      </c>
      <c r="AO27" s="122">
        <f t="shared" si="10"/>
        <v>0</v>
      </c>
      <c r="AP27" s="107">
        <f t="shared" si="11"/>
        <v>0</v>
      </c>
      <c r="AQ27" s="107">
        <f t="shared" si="12"/>
        <v>0</v>
      </c>
      <c r="AR27" s="123">
        <f t="shared" si="13"/>
        <v>0</v>
      </c>
      <c r="AS27" s="124">
        <f t="shared" si="14"/>
        <v>0</v>
      </c>
      <c r="AT27" s="124">
        <f t="shared" si="15"/>
        <v>0</v>
      </c>
      <c r="AU27" s="124">
        <f t="shared" si="16"/>
        <v>0</v>
      </c>
      <c r="AV27" s="117" t="s">
        <v>18</v>
      </c>
      <c r="AW27" s="129">
        <f>IF(($R$40=AV27)*AND($R$41&lt;&gt;""),VLOOKUP($R$41,'Barèmes police'!$BG$4:$BH$30,2),0)</f>
        <v>0</v>
      </c>
      <c r="AX27" s="16" t="str">
        <f>IF('Types de jours'!F33&lt;&gt;"",'Types de jours'!F33,"")</f>
        <v/>
      </c>
      <c r="AY27" s="144" t="str">
        <f>IF(AX27&lt;&gt;"",'Types de jours'!I33,"")</f>
        <v/>
      </c>
      <c r="AZ27" s="269"/>
      <c r="BA27" s="154"/>
      <c r="BB27" s="154"/>
      <c r="BC27" s="154"/>
      <c r="BD27" s="154"/>
      <c r="BE27" s="154"/>
      <c r="BF27" s="154"/>
    </row>
    <row r="28" spans="1:58" ht="12.75" customHeight="1" x14ac:dyDescent="0.2">
      <c r="A28" s="34"/>
      <c r="B28" s="24" t="str">
        <f t="shared" si="0"/>
        <v>Sa</v>
      </c>
      <c r="C28" s="25">
        <f t="shared" si="22"/>
        <v>45556</v>
      </c>
      <c r="D28" s="51"/>
      <c r="E28" s="116"/>
      <c r="F28" s="52"/>
      <c r="G28" s="53"/>
      <c r="H28" s="54"/>
      <c r="I28" s="55"/>
      <c r="J28" s="54"/>
      <c r="K28" s="55"/>
      <c r="L28" s="40">
        <f t="shared" si="1"/>
        <v>0</v>
      </c>
      <c r="M28" s="41">
        <f t="shared" si="23"/>
        <v>0</v>
      </c>
      <c r="N28" s="42">
        <f>IF(AND(D28&lt;&gt;"Jour libre 4/5",B28&lt;&gt;"Sa",B28&lt;&gt;"Di"),SUM(N27,Configuration!$H$41),SUM(N27))</f>
        <v>4.7499999999999982</v>
      </c>
      <c r="O28" s="49" t="str">
        <f t="shared" si="24"/>
        <v>-</v>
      </c>
      <c r="P28" s="143">
        <f t="shared" si="17"/>
        <v>4.7499999999999982</v>
      </c>
      <c r="Q28" s="167">
        <f t="shared" si="18"/>
        <v>0</v>
      </c>
      <c r="R28" s="168">
        <f t="shared" si="18"/>
        <v>0</v>
      </c>
      <c r="S28" s="168">
        <f t="shared" si="18"/>
        <v>0</v>
      </c>
      <c r="T28" s="169">
        <f t="shared" si="18"/>
        <v>0</v>
      </c>
      <c r="U28" s="97">
        <f t="shared" si="2"/>
        <v>0</v>
      </c>
      <c r="V28" s="97">
        <f t="shared" si="3"/>
        <v>0</v>
      </c>
      <c r="W28" s="97">
        <f t="shared" si="4"/>
        <v>0</v>
      </c>
      <c r="X28" s="97">
        <f t="shared" si="5"/>
        <v>0</v>
      </c>
      <c r="Y28" s="209"/>
      <c r="Z28" s="210"/>
      <c r="AA28" s="210"/>
      <c r="AB28" s="128">
        <f>IF(AND(D28="Jour férié semaine",((G28-F28)+(I28-H28)+(K28-J28)=0)),VLOOKUP(D28,Systeemgegevens!$J:$K,2,FALSE),0)</f>
        <v>0</v>
      </c>
      <c r="AC28" s="43">
        <f>IF(AND(NOT(ISERROR(FIND("Congé",D28))),ISERROR(FIND("1/2",D28)),ISERROR(FIND("Synd",D28)),ISERROR(FIND("synd",D28)),(G28-F28+I28-H28+K28-J28)=0),VLOOKUP(D28,Systeemgegevens!$J:$K,2,FALSE),IF(AND(NOT(ISERROR(FIND("1/2 Congé + ",D28))),(G28-F28+I28-H28+K28-J28)=0),VLOOKUP(D28,Systeemgegevens!$J:$K,2,FALSE)/2,IF(AND(NOT(ISERROR(FIND("1/2 Congé",D28))),ISERROR(FIND(" + ",D28)),ISERROR(FIND("1/2 Congé Synd.",D28))),VLOOKUP(D28,Systeemgegevens!$J:$K,2,FALSE),0)))</f>
        <v>0</v>
      </c>
      <c r="AD28" s="43">
        <f>IF(AND(OR(D28="1/2 Congé Synd.",D28="Congé Synd."),((G28-F28)+(I28-H28)+(K28-J28)=0)),VLOOKUP(D28,Systeemgegevens!$J:$K,2,FALSE),IF(AND(D28="1/2 Congé + 1/2 synd.",((G28-F28)+(I28-H28)+(K28-J28)=0)),AC28,0))</f>
        <v>0</v>
      </c>
      <c r="AE28" s="43">
        <f>IF(AND(D28="Jour de pont",((G28-F28)+(I28-H28)+(K28-J28)=0)),VLOOKUP(D28,Systeemgegevens!$J:$K,2,FALSE),0)</f>
        <v>0</v>
      </c>
      <c r="AF28" s="43">
        <f>IF(AND(D28="Jour libre 4/5",AND((G28-F28)+(I28-H28)+(K28-J28)=0)),VLOOKUP(D28,Systeemgegevens!$J:$K,2,FALSE),0)</f>
        <v>0</v>
      </c>
      <c r="AG28" s="118">
        <f>IF(AND(D28&lt;&gt;"",SUM(AB28:AF28)=0,D28&lt;&gt;$AB$4,D28&lt;&gt;$AC$4,D28&lt;&gt;$AE$4,D28&lt;&gt;$AF$4),VLOOKUP(D28,Systeemgegevens!$J:$K,2,FALSE),0)</f>
        <v>0</v>
      </c>
      <c r="AH28" s="119">
        <f t="shared" si="6"/>
        <v>0</v>
      </c>
      <c r="AI28" s="101">
        <f t="shared" si="7"/>
        <v>0</v>
      </c>
      <c r="AJ28" s="118">
        <f t="shared" si="19"/>
        <v>0</v>
      </c>
      <c r="AK28" s="119">
        <f t="shared" si="8"/>
        <v>0</v>
      </c>
      <c r="AL28" s="101">
        <f t="shared" si="9"/>
        <v>0</v>
      </c>
      <c r="AM28" s="43">
        <f t="shared" si="20"/>
        <v>0</v>
      </c>
      <c r="AN28" s="118">
        <f t="shared" si="21"/>
        <v>0</v>
      </c>
      <c r="AO28" s="122">
        <f t="shared" si="10"/>
        <v>0</v>
      </c>
      <c r="AP28" s="107">
        <f t="shared" si="11"/>
        <v>0</v>
      </c>
      <c r="AQ28" s="107">
        <f t="shared" si="12"/>
        <v>0</v>
      </c>
      <c r="AR28" s="123">
        <f t="shared" si="13"/>
        <v>0</v>
      </c>
      <c r="AS28" s="124">
        <f t="shared" si="14"/>
        <v>0</v>
      </c>
      <c r="AT28" s="124">
        <f t="shared" si="15"/>
        <v>0</v>
      </c>
      <c r="AU28" s="124">
        <f t="shared" si="16"/>
        <v>0</v>
      </c>
      <c r="AV28" s="117" t="s">
        <v>17</v>
      </c>
      <c r="AW28" s="129">
        <f>IF(($R$40=AV28)*AND($R$41&lt;&gt;""),VLOOKUP($R$41,'Barèmes police'!$BJ$4:$BK$30,2),0)</f>
        <v>0</v>
      </c>
      <c r="AX28" s="16" t="str">
        <f>IF('Types de jours'!F34&lt;&gt;"",'Types de jours'!F34,"")</f>
        <v/>
      </c>
      <c r="AY28" s="144" t="str">
        <f>IF(AX28&lt;&gt;"",'Types de jours'!I34,"")</f>
        <v/>
      </c>
      <c r="AZ28" s="269"/>
      <c r="BA28" s="154"/>
      <c r="BB28" s="154"/>
      <c r="BC28" s="154"/>
      <c r="BD28" s="154"/>
      <c r="BE28" s="154"/>
      <c r="BF28" s="154"/>
    </row>
    <row r="29" spans="1:58" ht="12.75" customHeight="1" x14ac:dyDescent="0.2">
      <c r="A29" s="34"/>
      <c r="B29" s="24" t="str">
        <f t="shared" si="0"/>
        <v>Di</v>
      </c>
      <c r="C29" s="25">
        <f t="shared" si="22"/>
        <v>45557</v>
      </c>
      <c r="D29" s="51"/>
      <c r="E29" s="116"/>
      <c r="F29" s="52"/>
      <c r="G29" s="53"/>
      <c r="H29" s="54"/>
      <c r="I29" s="55"/>
      <c r="J29" s="54"/>
      <c r="K29" s="55"/>
      <c r="L29" s="40">
        <f t="shared" si="1"/>
        <v>0</v>
      </c>
      <c r="M29" s="41">
        <f t="shared" si="23"/>
        <v>0</v>
      </c>
      <c r="N29" s="42">
        <f>IF(AND(D29&lt;&gt;"Jour libre 4/5",B29&lt;&gt;"Sa",B29&lt;&gt;"Di"),SUM(N28,Configuration!$H$41),SUM(N28))</f>
        <v>4.7499999999999982</v>
      </c>
      <c r="O29" s="49" t="str">
        <f t="shared" si="24"/>
        <v>-</v>
      </c>
      <c r="P29" s="143">
        <f t="shared" si="17"/>
        <v>4.7499999999999982</v>
      </c>
      <c r="Q29" s="167">
        <f t="shared" si="18"/>
        <v>0</v>
      </c>
      <c r="R29" s="168">
        <f t="shared" si="18"/>
        <v>0</v>
      </c>
      <c r="S29" s="168">
        <f t="shared" si="18"/>
        <v>0</v>
      </c>
      <c r="T29" s="169">
        <f t="shared" si="18"/>
        <v>0</v>
      </c>
      <c r="U29" s="97">
        <f t="shared" si="2"/>
        <v>0</v>
      </c>
      <c r="V29" s="97">
        <f t="shared" si="3"/>
        <v>0</v>
      </c>
      <c r="W29" s="97">
        <f t="shared" si="4"/>
        <v>0</v>
      </c>
      <c r="X29" s="97">
        <f t="shared" si="5"/>
        <v>0</v>
      </c>
      <c r="Y29" s="209"/>
      <c r="Z29" s="210"/>
      <c r="AA29" s="210"/>
      <c r="AB29" s="128">
        <f>IF(AND(D29="Jour férié semaine",((G29-F29)+(I29-H29)+(K29-J29)=0)),VLOOKUP(D29,Systeemgegevens!$J:$K,2,FALSE),0)</f>
        <v>0</v>
      </c>
      <c r="AC29" s="43">
        <f>IF(AND(NOT(ISERROR(FIND("Congé",D29))),ISERROR(FIND("1/2",D29)),ISERROR(FIND("Synd",D29)),ISERROR(FIND("synd",D29)),(G29-F29+I29-H29+K29-J29)=0),VLOOKUP(D29,Systeemgegevens!$J:$K,2,FALSE),IF(AND(NOT(ISERROR(FIND("1/2 Congé + ",D29))),(G29-F29+I29-H29+K29-J29)=0),VLOOKUP(D29,Systeemgegevens!$J:$K,2,FALSE)/2,IF(AND(NOT(ISERROR(FIND("1/2 Congé",D29))),ISERROR(FIND(" + ",D29)),ISERROR(FIND("1/2 Congé Synd.",D29))),VLOOKUP(D29,Systeemgegevens!$J:$K,2,FALSE),0)))</f>
        <v>0</v>
      </c>
      <c r="AD29" s="43">
        <f>IF(AND(OR(D29="1/2 Congé Synd.",D29="Congé Synd."),((G29-F29)+(I29-H29)+(K29-J29)=0)),VLOOKUP(D29,Systeemgegevens!$J:$K,2,FALSE),IF(AND(D29="1/2 Congé + 1/2 synd.",((G29-F29)+(I29-H29)+(K29-J29)=0)),AC29,0))</f>
        <v>0</v>
      </c>
      <c r="AE29" s="43">
        <f>IF(AND(D29="Jour de pont",((G29-F29)+(I29-H29)+(K29-J29)=0)),VLOOKUP(D29,Systeemgegevens!$J:$K,2,FALSE),0)</f>
        <v>0</v>
      </c>
      <c r="AF29" s="43">
        <f>IF(AND(D29="Jour libre 4/5",AND((G29-F29)+(I29-H29)+(K29-J29)=0)),VLOOKUP(D29,Systeemgegevens!$J:$K,2,FALSE),0)</f>
        <v>0</v>
      </c>
      <c r="AG29" s="118">
        <f>IF(AND(D29&lt;&gt;"",SUM(AB29:AF29)=0,D29&lt;&gt;$AB$4,D29&lt;&gt;$AC$4,D29&lt;&gt;$AE$4,D29&lt;&gt;$AF$4),VLOOKUP(D29,Systeemgegevens!$J:$K,2,FALSE),0)</f>
        <v>0</v>
      </c>
      <c r="AH29" s="119">
        <f t="shared" si="6"/>
        <v>0</v>
      </c>
      <c r="AI29" s="101">
        <f t="shared" si="7"/>
        <v>0</v>
      </c>
      <c r="AJ29" s="118">
        <f t="shared" si="19"/>
        <v>0</v>
      </c>
      <c r="AK29" s="119">
        <f t="shared" si="8"/>
        <v>0</v>
      </c>
      <c r="AL29" s="101">
        <f t="shared" si="9"/>
        <v>0</v>
      </c>
      <c r="AM29" s="43">
        <f t="shared" si="20"/>
        <v>0</v>
      </c>
      <c r="AN29" s="118">
        <f t="shared" si="21"/>
        <v>0</v>
      </c>
      <c r="AO29" s="122">
        <f t="shared" si="10"/>
        <v>0</v>
      </c>
      <c r="AP29" s="107">
        <f t="shared" si="11"/>
        <v>0</v>
      </c>
      <c r="AQ29" s="107">
        <f t="shared" si="12"/>
        <v>0</v>
      </c>
      <c r="AR29" s="123">
        <f t="shared" si="13"/>
        <v>0</v>
      </c>
      <c r="AS29" s="124">
        <f t="shared" si="14"/>
        <v>0</v>
      </c>
      <c r="AT29" s="124">
        <f t="shared" si="15"/>
        <v>0</v>
      </c>
      <c r="AU29" s="124">
        <f t="shared" si="16"/>
        <v>0</v>
      </c>
      <c r="AV29" s="117" t="s">
        <v>16</v>
      </c>
      <c r="AW29" s="129">
        <f>IF(($R$40=AV29)*AND($R$41&lt;&gt;""),VLOOKUP($R$41,'Barèmes police'!$BM$4:$BN$30,2),0)</f>
        <v>0</v>
      </c>
      <c r="AX29" s="145" t="str">
        <f>IF('Types de jours'!F35&lt;&gt;"",'Types de jours'!F35,"")</f>
        <v/>
      </c>
      <c r="AY29" s="146" t="str">
        <f>IF(AX29&lt;&gt;"",'Types de jours'!I35,"")</f>
        <v/>
      </c>
      <c r="AZ29" s="269"/>
      <c r="BA29" s="154"/>
      <c r="BB29" s="154"/>
      <c r="BC29" s="154"/>
      <c r="BD29" s="154"/>
      <c r="BE29" s="154"/>
      <c r="BF29" s="154"/>
    </row>
    <row r="30" spans="1:58" ht="12.75" customHeight="1" x14ac:dyDescent="0.2">
      <c r="A30" s="34"/>
      <c r="B30" s="24" t="str">
        <f t="shared" si="0"/>
        <v>Lu</v>
      </c>
      <c r="C30" s="25">
        <f t="shared" si="22"/>
        <v>45558</v>
      </c>
      <c r="D30" s="51"/>
      <c r="E30" s="116"/>
      <c r="F30" s="52"/>
      <c r="G30" s="53"/>
      <c r="H30" s="54"/>
      <c r="I30" s="55"/>
      <c r="J30" s="54"/>
      <c r="K30" s="55"/>
      <c r="L30" s="40">
        <f t="shared" si="1"/>
        <v>0</v>
      </c>
      <c r="M30" s="41">
        <f t="shared" si="23"/>
        <v>0</v>
      </c>
      <c r="N30" s="42">
        <f>IF(AND(D30&lt;&gt;"Jour libre 4/5",B30&lt;&gt;"Sa",B30&lt;&gt;"Di"),SUM(N29,Configuration!$H$41),SUM(N29))</f>
        <v>5.0666666666666647</v>
      </c>
      <c r="O30" s="49" t="str">
        <f t="shared" si="24"/>
        <v>-</v>
      </c>
      <c r="P30" s="143">
        <f t="shared" si="17"/>
        <v>5.0666666666666647</v>
      </c>
      <c r="Q30" s="167">
        <f t="shared" si="18"/>
        <v>0</v>
      </c>
      <c r="R30" s="168">
        <f t="shared" si="18"/>
        <v>0</v>
      </c>
      <c r="S30" s="168">
        <f t="shared" si="18"/>
        <v>0</v>
      </c>
      <c r="T30" s="169">
        <f t="shared" si="18"/>
        <v>0</v>
      </c>
      <c r="U30" s="97">
        <f t="shared" si="2"/>
        <v>0</v>
      </c>
      <c r="V30" s="97">
        <f t="shared" si="3"/>
        <v>0</v>
      </c>
      <c r="W30" s="97">
        <f t="shared" si="4"/>
        <v>0</v>
      </c>
      <c r="X30" s="97">
        <f t="shared" si="5"/>
        <v>0</v>
      </c>
      <c r="Y30" s="209"/>
      <c r="Z30" s="210"/>
      <c r="AA30" s="210"/>
      <c r="AB30" s="128">
        <f>IF(AND(D30="Jour férié semaine",((G30-F30)+(I30-H30)+(K30-J30)=0)),VLOOKUP(D30,Systeemgegevens!$J:$K,2,FALSE),0)</f>
        <v>0</v>
      </c>
      <c r="AC30" s="43">
        <f>IF(AND(NOT(ISERROR(FIND("Congé",D30))),ISERROR(FIND("1/2",D30)),ISERROR(FIND("Synd",D30)),ISERROR(FIND("synd",D30)),(G30-F30+I30-H30+K30-J30)=0),VLOOKUP(D30,Systeemgegevens!$J:$K,2,FALSE),IF(AND(NOT(ISERROR(FIND("1/2 Congé + ",D30))),(G30-F30+I30-H30+K30-J30)=0),VLOOKUP(D30,Systeemgegevens!$J:$K,2,FALSE)/2,IF(AND(NOT(ISERROR(FIND("1/2 Congé",D30))),ISERROR(FIND(" + ",D30)),ISERROR(FIND("1/2 Congé Synd.",D30))),VLOOKUP(D30,Systeemgegevens!$J:$K,2,FALSE),0)))</f>
        <v>0</v>
      </c>
      <c r="AD30" s="43">
        <f>IF(AND(OR(D30="1/2 Congé Synd.",D30="Congé Synd."),((G30-F30)+(I30-H30)+(K30-J30)=0)),VLOOKUP(D30,Systeemgegevens!$J:$K,2,FALSE),IF(AND(D30="1/2 Congé + 1/2 synd.",((G30-F30)+(I30-H30)+(K30-J30)=0)),AC30,0))</f>
        <v>0</v>
      </c>
      <c r="AE30" s="43">
        <f>IF(AND(D30="Jour de pont",((G30-F30)+(I30-H30)+(K30-J30)=0)),VLOOKUP(D30,Systeemgegevens!$J:$K,2,FALSE),0)</f>
        <v>0</v>
      </c>
      <c r="AF30" s="43">
        <f>IF(AND(D30="Jour libre 4/5",AND((G30-F30)+(I30-H30)+(K30-J30)=0)),VLOOKUP(D30,Systeemgegevens!$J:$K,2,FALSE),0)</f>
        <v>0</v>
      </c>
      <c r="AG30" s="118">
        <f>IF(AND(D30&lt;&gt;"",SUM(AB30:AF30)=0,D30&lt;&gt;$AB$4,D30&lt;&gt;$AC$4,D30&lt;&gt;$AE$4,D30&lt;&gt;$AF$4),VLOOKUP(D30,Systeemgegevens!$J:$K,2,FALSE),0)</f>
        <v>0</v>
      </c>
      <c r="AH30" s="119">
        <f t="shared" si="6"/>
        <v>0</v>
      </c>
      <c r="AI30" s="101">
        <f t="shared" si="7"/>
        <v>0</v>
      </c>
      <c r="AJ30" s="118">
        <f t="shared" si="19"/>
        <v>0</v>
      </c>
      <c r="AK30" s="119">
        <f t="shared" si="8"/>
        <v>0</v>
      </c>
      <c r="AL30" s="101">
        <f t="shared" si="9"/>
        <v>0</v>
      </c>
      <c r="AM30" s="43">
        <f t="shared" si="20"/>
        <v>0</v>
      </c>
      <c r="AN30" s="118">
        <f t="shared" si="21"/>
        <v>0</v>
      </c>
      <c r="AO30" s="122">
        <f t="shared" si="10"/>
        <v>0</v>
      </c>
      <c r="AP30" s="107">
        <f t="shared" si="11"/>
        <v>0</v>
      </c>
      <c r="AQ30" s="107">
        <f t="shared" si="12"/>
        <v>0</v>
      </c>
      <c r="AR30" s="123">
        <f t="shared" si="13"/>
        <v>0</v>
      </c>
      <c r="AS30" s="124">
        <f t="shared" si="14"/>
        <v>0</v>
      </c>
      <c r="AT30" s="124">
        <f t="shared" si="15"/>
        <v>0</v>
      </c>
      <c r="AU30" s="124">
        <f t="shared" si="16"/>
        <v>0</v>
      </c>
      <c r="AV30" s="117" t="s">
        <v>14</v>
      </c>
      <c r="AW30" s="129">
        <f>IF(($R$40=AV30)*AND($R$41&lt;&gt;""),VLOOKUP($R$41,'Barèmes police'!$B$40:$C$66,2),0)</f>
        <v>0</v>
      </c>
      <c r="AX30" s="129"/>
      <c r="AY30" s="129"/>
      <c r="AZ30" s="154"/>
      <c r="BA30" s="154"/>
      <c r="BB30" s="154"/>
      <c r="BC30" s="154"/>
      <c r="BD30" s="154"/>
      <c r="BE30" s="154"/>
      <c r="BF30" s="154"/>
    </row>
    <row r="31" spans="1:58" ht="12.75" customHeight="1" x14ac:dyDescent="0.2">
      <c r="A31" s="34"/>
      <c r="B31" s="24" t="str">
        <f t="shared" si="0"/>
        <v>Ma</v>
      </c>
      <c r="C31" s="25">
        <f t="shared" si="22"/>
        <v>45559</v>
      </c>
      <c r="D31" s="51"/>
      <c r="E31" s="116"/>
      <c r="F31" s="52"/>
      <c r="G31" s="53"/>
      <c r="H31" s="52"/>
      <c r="I31" s="53"/>
      <c r="J31" s="54"/>
      <c r="K31" s="55"/>
      <c r="L31" s="40">
        <f t="shared" si="1"/>
        <v>0</v>
      </c>
      <c r="M31" s="41">
        <f t="shared" si="23"/>
        <v>0</v>
      </c>
      <c r="N31" s="42">
        <f>IF(AND(D31&lt;&gt;"Jour libre 4/5",B31&lt;&gt;"Sa",B31&lt;&gt;"Di"),SUM(N30,Configuration!$H$41),SUM(N30))</f>
        <v>5.3833333333333311</v>
      </c>
      <c r="O31" s="49" t="str">
        <f t="shared" si="24"/>
        <v>-</v>
      </c>
      <c r="P31" s="143">
        <f t="shared" si="17"/>
        <v>5.3833333333333311</v>
      </c>
      <c r="Q31" s="167">
        <f t="shared" si="18"/>
        <v>0</v>
      </c>
      <c r="R31" s="168">
        <f t="shared" si="18"/>
        <v>0</v>
      </c>
      <c r="S31" s="168">
        <f t="shared" si="18"/>
        <v>0</v>
      </c>
      <c r="T31" s="169">
        <f t="shared" si="18"/>
        <v>0</v>
      </c>
      <c r="U31" s="97">
        <f t="shared" si="2"/>
        <v>0</v>
      </c>
      <c r="V31" s="97">
        <f t="shared" si="3"/>
        <v>0</v>
      </c>
      <c r="W31" s="97">
        <f t="shared" si="4"/>
        <v>0</v>
      </c>
      <c r="X31" s="97">
        <f t="shared" si="5"/>
        <v>0</v>
      </c>
      <c r="Y31" s="209"/>
      <c r="Z31" s="210"/>
      <c r="AA31" s="210"/>
      <c r="AB31" s="128">
        <f>IF(AND(D31="Jour férié semaine",((G31-F31)+(I31-H31)+(K31-J31)=0)),VLOOKUP(D31,Systeemgegevens!$J:$K,2,FALSE),0)</f>
        <v>0</v>
      </c>
      <c r="AC31" s="43">
        <f>IF(AND(NOT(ISERROR(FIND("Congé",D31))),ISERROR(FIND("1/2",D31)),ISERROR(FIND("Synd",D31)),ISERROR(FIND("synd",D31)),(G31-F31+I31-H31+K31-J31)=0),VLOOKUP(D31,Systeemgegevens!$J:$K,2,FALSE),IF(AND(NOT(ISERROR(FIND("1/2 Congé + ",D31))),(G31-F31+I31-H31+K31-J31)=0),VLOOKUP(D31,Systeemgegevens!$J:$K,2,FALSE)/2,IF(AND(NOT(ISERROR(FIND("1/2 Congé",D31))),ISERROR(FIND(" + ",D31)),ISERROR(FIND("1/2 Congé Synd.",D31))),VLOOKUP(D31,Systeemgegevens!$J:$K,2,FALSE),0)))</f>
        <v>0</v>
      </c>
      <c r="AD31" s="43">
        <f>IF(AND(OR(D31="1/2 Congé Synd.",D31="Congé Synd."),((G31-F31)+(I31-H31)+(K31-J31)=0)),VLOOKUP(D31,Systeemgegevens!$J:$K,2,FALSE),IF(AND(D31="1/2 Congé + 1/2 synd.",((G31-F31)+(I31-H31)+(K31-J31)=0)),AC31,0))</f>
        <v>0</v>
      </c>
      <c r="AE31" s="43">
        <f>IF(AND(D31="Jour de pont",((G31-F31)+(I31-H31)+(K31-J31)=0)),VLOOKUP(D31,Systeemgegevens!$J:$K,2,FALSE),0)</f>
        <v>0</v>
      </c>
      <c r="AF31" s="43">
        <f>IF(AND(D31="Jour libre 4/5",AND((G31-F31)+(I31-H31)+(K31-J31)=0)),VLOOKUP(D31,Systeemgegevens!$J:$K,2,FALSE),0)</f>
        <v>0</v>
      </c>
      <c r="AG31" s="118">
        <f>IF(AND(D31&lt;&gt;"",SUM(AB31:AF31)=0,D31&lt;&gt;$AB$4,D31&lt;&gt;$AC$4,D31&lt;&gt;$AE$4,D31&lt;&gt;$AF$4),VLOOKUP(D31,Systeemgegevens!$J:$K,2,FALSE),0)</f>
        <v>0</v>
      </c>
      <c r="AH31" s="119">
        <f t="shared" si="6"/>
        <v>0</v>
      </c>
      <c r="AI31" s="101">
        <f t="shared" si="7"/>
        <v>0</v>
      </c>
      <c r="AJ31" s="118">
        <f t="shared" si="19"/>
        <v>0</v>
      </c>
      <c r="AK31" s="119">
        <f t="shared" si="8"/>
        <v>0</v>
      </c>
      <c r="AL31" s="101">
        <f t="shared" si="9"/>
        <v>0</v>
      </c>
      <c r="AM31" s="43">
        <f t="shared" si="20"/>
        <v>0</v>
      </c>
      <c r="AN31" s="118">
        <f t="shared" si="21"/>
        <v>0</v>
      </c>
      <c r="AO31" s="122">
        <f t="shared" si="10"/>
        <v>0</v>
      </c>
      <c r="AP31" s="107">
        <f t="shared" si="11"/>
        <v>0</v>
      </c>
      <c r="AQ31" s="107">
        <f t="shared" si="12"/>
        <v>0</v>
      </c>
      <c r="AR31" s="123">
        <f t="shared" si="13"/>
        <v>0</v>
      </c>
      <c r="AS31" s="124">
        <f t="shared" si="14"/>
        <v>0</v>
      </c>
      <c r="AT31" s="124">
        <f t="shared" si="15"/>
        <v>0</v>
      </c>
      <c r="AU31" s="124">
        <f t="shared" si="16"/>
        <v>0</v>
      </c>
      <c r="AV31" s="117" t="s">
        <v>13</v>
      </c>
      <c r="AW31" s="129">
        <f>IF(($R$40=AV31)*AND($R$41&lt;&gt;""),VLOOKUP($R$41,'Barèmes police'!$E$40:$F$66,2),0)</f>
        <v>0</v>
      </c>
      <c r="AX31" s="129"/>
      <c r="AY31" s="129"/>
      <c r="AZ31" s="154"/>
      <c r="BA31" s="154"/>
      <c r="BB31" s="154"/>
      <c r="BC31" s="154"/>
      <c r="BD31" s="154"/>
      <c r="BE31" s="154"/>
      <c r="BF31" s="154"/>
    </row>
    <row r="32" spans="1:58" ht="12.75" customHeight="1" x14ac:dyDescent="0.2">
      <c r="A32" s="34"/>
      <c r="B32" s="24" t="str">
        <f t="shared" si="0"/>
        <v>Me</v>
      </c>
      <c r="C32" s="25">
        <f t="shared" si="22"/>
        <v>45560</v>
      </c>
      <c r="D32" s="51"/>
      <c r="E32" s="116"/>
      <c r="F32" s="52"/>
      <c r="G32" s="53"/>
      <c r="H32" s="52"/>
      <c r="I32" s="53"/>
      <c r="J32" s="54"/>
      <c r="K32" s="55"/>
      <c r="L32" s="40">
        <f t="shared" si="1"/>
        <v>0</v>
      </c>
      <c r="M32" s="41">
        <f t="shared" si="23"/>
        <v>0</v>
      </c>
      <c r="N32" s="42">
        <f>IF(AND(D32&lt;&gt;"Jour libre 4/5",B32&lt;&gt;"Sa",B32&lt;&gt;"Di"),SUM(N31,Configuration!$H$41),SUM(N31))</f>
        <v>5.6999999999999975</v>
      </c>
      <c r="O32" s="49" t="str">
        <f t="shared" si="24"/>
        <v>-</v>
      </c>
      <c r="P32" s="143">
        <f t="shared" si="17"/>
        <v>5.6999999999999975</v>
      </c>
      <c r="Q32" s="167">
        <f t="shared" si="18"/>
        <v>0</v>
      </c>
      <c r="R32" s="168">
        <f t="shared" si="18"/>
        <v>0</v>
      </c>
      <c r="S32" s="168">
        <f t="shared" si="18"/>
        <v>0</v>
      </c>
      <c r="T32" s="169">
        <f t="shared" si="18"/>
        <v>0</v>
      </c>
      <c r="U32" s="97">
        <f t="shared" si="2"/>
        <v>0</v>
      </c>
      <c r="V32" s="97">
        <f t="shared" si="3"/>
        <v>0</v>
      </c>
      <c r="W32" s="97">
        <f t="shared" si="4"/>
        <v>0</v>
      </c>
      <c r="X32" s="97">
        <f t="shared" si="5"/>
        <v>0</v>
      </c>
      <c r="Y32" s="209"/>
      <c r="Z32" s="210"/>
      <c r="AA32" s="210"/>
      <c r="AB32" s="128">
        <f>IF(AND(D32="Jour férié semaine",((G32-F32)+(I32-H32)+(K32-J32)=0)),VLOOKUP(D32,Systeemgegevens!$J:$K,2,FALSE),0)</f>
        <v>0</v>
      </c>
      <c r="AC32" s="43">
        <f>IF(AND(NOT(ISERROR(FIND("Congé",D32))),ISERROR(FIND("1/2",D32)),ISERROR(FIND("Synd",D32)),ISERROR(FIND("synd",D32)),(G32-F32+I32-H32+K32-J32)=0),VLOOKUP(D32,Systeemgegevens!$J:$K,2,FALSE),IF(AND(NOT(ISERROR(FIND("1/2 Congé + ",D32))),(G32-F32+I32-H32+K32-J32)=0),VLOOKUP(D32,Systeemgegevens!$J:$K,2,FALSE)/2,IF(AND(NOT(ISERROR(FIND("1/2 Congé",D32))),ISERROR(FIND(" + ",D32)),ISERROR(FIND("1/2 Congé Synd.",D32))),VLOOKUP(D32,Systeemgegevens!$J:$K,2,FALSE),0)))</f>
        <v>0</v>
      </c>
      <c r="AD32" s="43">
        <f>IF(AND(OR(D32="1/2 Congé Synd.",D32="Congé Synd."),((G32-F32)+(I32-H32)+(K32-J32)=0)),VLOOKUP(D32,Systeemgegevens!$J:$K,2,FALSE),IF(AND(D32="1/2 Congé + 1/2 synd.",((G32-F32)+(I32-H32)+(K32-J32)=0)),AC32,0))</f>
        <v>0</v>
      </c>
      <c r="AE32" s="43">
        <f>IF(AND(D32="Jour de pont",((G32-F32)+(I32-H32)+(K32-J32)=0)),VLOOKUP(D32,Systeemgegevens!$J:$K,2,FALSE),0)</f>
        <v>0</v>
      </c>
      <c r="AF32" s="43">
        <f>IF(AND(D32="Jour libre 4/5",AND((G32-F32)+(I32-H32)+(K32-J32)=0)),VLOOKUP(D32,Systeemgegevens!$J:$K,2,FALSE),0)</f>
        <v>0</v>
      </c>
      <c r="AG32" s="118">
        <f>IF(AND(D32&lt;&gt;"",SUM(AB32:AF32)=0,D32&lt;&gt;$AB$4,D32&lt;&gt;$AC$4,D32&lt;&gt;$AE$4,D32&lt;&gt;$AF$4),VLOOKUP(D32,Systeemgegevens!$J:$K,2,FALSE),0)</f>
        <v>0</v>
      </c>
      <c r="AH32" s="119">
        <f t="shared" si="6"/>
        <v>0</v>
      </c>
      <c r="AI32" s="101">
        <f t="shared" si="7"/>
        <v>0</v>
      </c>
      <c r="AJ32" s="118">
        <f t="shared" si="19"/>
        <v>0</v>
      </c>
      <c r="AK32" s="119">
        <f t="shared" si="8"/>
        <v>0</v>
      </c>
      <c r="AL32" s="101">
        <f t="shared" si="9"/>
        <v>0</v>
      </c>
      <c r="AM32" s="43">
        <f t="shared" si="20"/>
        <v>0</v>
      </c>
      <c r="AN32" s="118">
        <f t="shared" si="21"/>
        <v>0</v>
      </c>
      <c r="AO32" s="122">
        <f t="shared" si="10"/>
        <v>0</v>
      </c>
      <c r="AP32" s="107">
        <f t="shared" si="11"/>
        <v>0</v>
      </c>
      <c r="AQ32" s="107">
        <f t="shared" si="12"/>
        <v>0</v>
      </c>
      <c r="AR32" s="123">
        <f t="shared" si="13"/>
        <v>0</v>
      </c>
      <c r="AS32" s="124">
        <f t="shared" si="14"/>
        <v>0</v>
      </c>
      <c r="AT32" s="124">
        <f t="shared" si="15"/>
        <v>0</v>
      </c>
      <c r="AU32" s="124">
        <f t="shared" si="16"/>
        <v>0</v>
      </c>
      <c r="AV32" s="117" t="s">
        <v>7</v>
      </c>
      <c r="AW32" s="129">
        <f>IF(($R$40=AV32)*AND($R$41&lt;&gt;""),VLOOKUP($R$41,'Barèmes police'!$AC$40:$AD$66,2),0)</f>
        <v>0</v>
      </c>
      <c r="AX32" s="129"/>
      <c r="AY32" s="129"/>
      <c r="AZ32" s="154"/>
      <c r="BA32" s="154"/>
      <c r="BB32" s="154"/>
      <c r="BC32" s="154"/>
      <c r="BD32" s="154"/>
      <c r="BE32" s="154"/>
      <c r="BF32" s="154"/>
    </row>
    <row r="33" spans="1:58" ht="12.75" customHeight="1" x14ac:dyDescent="0.2">
      <c r="A33" s="34"/>
      <c r="B33" s="24" t="str">
        <f t="shared" si="0"/>
        <v>Je</v>
      </c>
      <c r="C33" s="25">
        <f t="shared" si="22"/>
        <v>45561</v>
      </c>
      <c r="D33" s="51"/>
      <c r="E33" s="116"/>
      <c r="F33" s="52"/>
      <c r="G33" s="53"/>
      <c r="H33" s="54"/>
      <c r="I33" s="55"/>
      <c r="J33" s="54"/>
      <c r="K33" s="55"/>
      <c r="L33" s="40">
        <f t="shared" si="1"/>
        <v>0</v>
      </c>
      <c r="M33" s="41">
        <f t="shared" si="23"/>
        <v>0</v>
      </c>
      <c r="N33" s="42">
        <f>IF(AND(D33&lt;&gt;"Jour libre 4/5",B33&lt;&gt;"Sa",B33&lt;&gt;"Di"),SUM(N32,Configuration!$H$41),SUM(N32))</f>
        <v>6.0166666666666639</v>
      </c>
      <c r="O33" s="49" t="str">
        <f t="shared" si="24"/>
        <v>-</v>
      </c>
      <c r="P33" s="143">
        <f t="shared" si="17"/>
        <v>6.0166666666666639</v>
      </c>
      <c r="Q33" s="167">
        <f t="shared" si="18"/>
        <v>0</v>
      </c>
      <c r="R33" s="168">
        <f t="shared" si="18"/>
        <v>0</v>
      </c>
      <c r="S33" s="168">
        <f t="shared" si="18"/>
        <v>0</v>
      </c>
      <c r="T33" s="169">
        <f t="shared" si="18"/>
        <v>0</v>
      </c>
      <c r="U33" s="97">
        <f t="shared" si="2"/>
        <v>0</v>
      </c>
      <c r="V33" s="97">
        <f t="shared" si="3"/>
        <v>0</v>
      </c>
      <c r="W33" s="97">
        <f t="shared" si="4"/>
        <v>0</v>
      </c>
      <c r="X33" s="97">
        <f t="shared" si="5"/>
        <v>0</v>
      </c>
      <c r="Y33" s="209"/>
      <c r="Z33" s="210"/>
      <c r="AA33" s="210"/>
      <c r="AB33" s="128">
        <f>IF(AND(D33="Jour férié semaine",((G33-F33)+(I33-H33)+(K33-J33)=0)),VLOOKUP(D33,Systeemgegevens!$J:$K,2,FALSE),0)</f>
        <v>0</v>
      </c>
      <c r="AC33" s="43">
        <f>IF(AND(NOT(ISERROR(FIND("Congé",D33))),ISERROR(FIND("1/2",D33)),ISERROR(FIND("Synd",D33)),ISERROR(FIND("synd",D33)),(G33-F33+I33-H33+K33-J33)=0),VLOOKUP(D33,Systeemgegevens!$J:$K,2,FALSE),IF(AND(NOT(ISERROR(FIND("1/2 Congé + ",D33))),(G33-F33+I33-H33+K33-J33)=0),VLOOKUP(D33,Systeemgegevens!$J:$K,2,FALSE)/2,IF(AND(NOT(ISERROR(FIND("1/2 Congé",D33))),ISERROR(FIND(" + ",D33)),ISERROR(FIND("1/2 Congé Synd.",D33))),VLOOKUP(D33,Systeemgegevens!$J:$K,2,FALSE),0)))</f>
        <v>0</v>
      </c>
      <c r="AD33" s="43">
        <f>IF(AND(OR(D33="1/2 Congé Synd.",D33="Congé Synd."),((G33-F33)+(I33-H33)+(K33-J33)=0)),VLOOKUP(D33,Systeemgegevens!$J:$K,2,FALSE),IF(AND(D33="1/2 Congé + 1/2 synd.",((G33-F33)+(I33-H33)+(K33-J33)=0)),AC33,0))</f>
        <v>0</v>
      </c>
      <c r="AE33" s="43">
        <f>IF(AND(D33="Jour de pont",((G33-F33)+(I33-H33)+(K33-J33)=0)),VLOOKUP(D33,Systeemgegevens!$J:$K,2,FALSE),0)</f>
        <v>0</v>
      </c>
      <c r="AF33" s="43">
        <f>IF(AND(D33="Jour libre 4/5",AND((G33-F33)+(I33-H33)+(K33-J33)=0)),VLOOKUP(D33,Systeemgegevens!$J:$K,2,FALSE),0)</f>
        <v>0</v>
      </c>
      <c r="AG33" s="118">
        <f>IF(AND(D33&lt;&gt;"",SUM(AB33:AF33)=0,D33&lt;&gt;$AB$4,D33&lt;&gt;$AC$4,D33&lt;&gt;$AE$4,D33&lt;&gt;$AF$4),VLOOKUP(D33,Systeemgegevens!$J:$K,2,FALSE),0)</f>
        <v>0</v>
      </c>
      <c r="AH33" s="119">
        <f t="shared" si="6"/>
        <v>0</v>
      </c>
      <c r="AI33" s="101">
        <f t="shared" si="7"/>
        <v>0</v>
      </c>
      <c r="AJ33" s="118">
        <f t="shared" si="19"/>
        <v>0</v>
      </c>
      <c r="AK33" s="119">
        <f t="shared" si="8"/>
        <v>0</v>
      </c>
      <c r="AL33" s="101">
        <f t="shared" si="9"/>
        <v>0</v>
      </c>
      <c r="AM33" s="43">
        <f t="shared" si="20"/>
        <v>0</v>
      </c>
      <c r="AN33" s="118">
        <f t="shared" si="21"/>
        <v>0</v>
      </c>
      <c r="AO33" s="122">
        <f t="shared" si="10"/>
        <v>0</v>
      </c>
      <c r="AP33" s="107">
        <f t="shared" si="11"/>
        <v>0</v>
      </c>
      <c r="AQ33" s="107">
        <f t="shared" si="12"/>
        <v>0</v>
      </c>
      <c r="AR33" s="123">
        <f t="shared" si="13"/>
        <v>0</v>
      </c>
      <c r="AS33" s="124">
        <f t="shared" si="14"/>
        <v>0</v>
      </c>
      <c r="AT33" s="124">
        <f t="shared" si="15"/>
        <v>0</v>
      </c>
      <c r="AU33" s="124">
        <f t="shared" si="16"/>
        <v>0</v>
      </c>
      <c r="AV33" s="117" t="s">
        <v>12</v>
      </c>
      <c r="AW33" s="129">
        <f>IF(($R$40=AV33)*AND($R$41&lt;&gt;""),VLOOKUP($R$41,'Barèmes police'!$H$40:$I$66,2),0)</f>
        <v>0</v>
      </c>
      <c r="AX33" s="129"/>
      <c r="AY33" s="129"/>
      <c r="AZ33" s="154"/>
      <c r="BA33" s="154"/>
      <c r="BB33" s="154"/>
      <c r="BC33" s="154"/>
      <c r="BD33" s="154"/>
      <c r="BE33" s="154"/>
      <c r="BF33" s="154"/>
    </row>
    <row r="34" spans="1:58" ht="12.75" customHeight="1" x14ac:dyDescent="0.2">
      <c r="A34" s="34"/>
      <c r="B34" s="24" t="str">
        <f t="shared" si="0"/>
        <v>Ve</v>
      </c>
      <c r="C34" s="25">
        <f t="shared" si="22"/>
        <v>45562</v>
      </c>
      <c r="D34" s="51"/>
      <c r="E34" s="116"/>
      <c r="F34" s="52"/>
      <c r="G34" s="53"/>
      <c r="H34" s="54"/>
      <c r="I34" s="55"/>
      <c r="J34" s="54"/>
      <c r="K34" s="55"/>
      <c r="L34" s="40">
        <f t="shared" si="1"/>
        <v>0</v>
      </c>
      <c r="M34" s="41">
        <f t="shared" si="23"/>
        <v>0</v>
      </c>
      <c r="N34" s="42">
        <f>IF(AND(D34&lt;&gt;"Jour libre 4/5",B34&lt;&gt;"Sa",B34&lt;&gt;"Di"),SUM(N33,Configuration!$H$41),SUM(N33))</f>
        <v>6.3333333333333304</v>
      </c>
      <c r="O34" s="49" t="str">
        <f t="shared" si="24"/>
        <v>-</v>
      </c>
      <c r="P34" s="143">
        <f t="shared" si="17"/>
        <v>6.3333333333333304</v>
      </c>
      <c r="Q34" s="167">
        <f t="shared" si="18"/>
        <v>0</v>
      </c>
      <c r="R34" s="168">
        <f t="shared" si="18"/>
        <v>0</v>
      </c>
      <c r="S34" s="168">
        <f t="shared" si="18"/>
        <v>0</v>
      </c>
      <c r="T34" s="169">
        <f t="shared" si="18"/>
        <v>0</v>
      </c>
      <c r="U34" s="97">
        <f t="shared" si="2"/>
        <v>0</v>
      </c>
      <c r="V34" s="97">
        <f t="shared" si="3"/>
        <v>0</v>
      </c>
      <c r="W34" s="97">
        <f t="shared" si="4"/>
        <v>0</v>
      </c>
      <c r="X34" s="97">
        <f t="shared" si="5"/>
        <v>0</v>
      </c>
      <c r="Y34" s="209"/>
      <c r="Z34" s="210"/>
      <c r="AA34" s="210"/>
      <c r="AB34" s="128">
        <f>IF(AND(D34="Jour férié semaine",((G34-F34)+(I34-H34)+(K34-J34)=0)),VLOOKUP(D34,Systeemgegevens!$J:$K,2,FALSE),0)</f>
        <v>0</v>
      </c>
      <c r="AC34" s="43">
        <f>IF(AND(NOT(ISERROR(FIND("Congé",D34))),ISERROR(FIND("1/2",D34)),ISERROR(FIND("Synd",D34)),ISERROR(FIND("synd",D34)),(G34-F34+I34-H34+K34-J34)=0),VLOOKUP(D34,Systeemgegevens!$J:$K,2,FALSE),IF(AND(NOT(ISERROR(FIND("1/2 Congé + ",D34))),(G34-F34+I34-H34+K34-J34)=0),VLOOKUP(D34,Systeemgegevens!$J:$K,2,FALSE)/2,IF(AND(NOT(ISERROR(FIND("1/2 Congé",D34))),ISERROR(FIND(" + ",D34)),ISERROR(FIND("1/2 Congé Synd.",D34))),VLOOKUP(D34,Systeemgegevens!$J:$K,2,FALSE),0)))</f>
        <v>0</v>
      </c>
      <c r="AD34" s="43">
        <f>IF(AND(OR(D34="1/2 Congé Synd.",D34="Congé Synd."),((G34-F34)+(I34-H34)+(K34-J34)=0)),VLOOKUP(D34,Systeemgegevens!$J:$K,2,FALSE),IF(AND(D34="1/2 Congé + 1/2 synd.",((G34-F34)+(I34-H34)+(K34-J34)=0)),AC34,0))</f>
        <v>0</v>
      </c>
      <c r="AE34" s="43">
        <f>IF(AND(D34="Jour de pont",((G34-F34)+(I34-H34)+(K34-J34)=0)),VLOOKUP(D34,Systeemgegevens!$J:$K,2,FALSE),0)</f>
        <v>0</v>
      </c>
      <c r="AF34" s="43">
        <f>IF(AND(D34="Jour libre 4/5",AND((G34-F34)+(I34-H34)+(K34-J34)=0)),VLOOKUP(D34,Systeemgegevens!$J:$K,2,FALSE),0)</f>
        <v>0</v>
      </c>
      <c r="AG34" s="118">
        <f>IF(AND(D34&lt;&gt;"",SUM(AB34:AF34)=0,D34&lt;&gt;$AB$4,D34&lt;&gt;$AC$4,D34&lt;&gt;$AE$4,D34&lt;&gt;$AF$4),VLOOKUP(D34,Systeemgegevens!$J:$K,2,FALSE),0)</f>
        <v>0</v>
      </c>
      <c r="AH34" s="119">
        <f t="shared" si="6"/>
        <v>0</v>
      </c>
      <c r="AI34" s="101">
        <f t="shared" si="7"/>
        <v>0</v>
      </c>
      <c r="AJ34" s="118">
        <f t="shared" si="19"/>
        <v>0</v>
      </c>
      <c r="AK34" s="119">
        <f t="shared" si="8"/>
        <v>0</v>
      </c>
      <c r="AL34" s="101">
        <f t="shared" si="9"/>
        <v>0</v>
      </c>
      <c r="AM34" s="43">
        <f t="shared" si="20"/>
        <v>0</v>
      </c>
      <c r="AN34" s="118">
        <f t="shared" si="21"/>
        <v>0</v>
      </c>
      <c r="AO34" s="122">
        <f t="shared" si="10"/>
        <v>0</v>
      </c>
      <c r="AP34" s="107">
        <f t="shared" si="11"/>
        <v>0</v>
      </c>
      <c r="AQ34" s="107">
        <f t="shared" si="12"/>
        <v>0</v>
      </c>
      <c r="AR34" s="123">
        <f t="shared" si="13"/>
        <v>0</v>
      </c>
      <c r="AS34" s="124">
        <f t="shared" si="14"/>
        <v>0</v>
      </c>
      <c r="AT34" s="124">
        <f t="shared" si="15"/>
        <v>0</v>
      </c>
      <c r="AU34" s="124">
        <f t="shared" si="16"/>
        <v>0</v>
      </c>
      <c r="AV34" s="117" t="s">
        <v>6</v>
      </c>
      <c r="AW34" s="129">
        <f>IF(($R$40=AV34)*AND($R$41&lt;&gt;""),VLOOKUP($R$41,'Barèmes police'!$AF$40:$AG$66,2),0)</f>
        <v>0</v>
      </c>
      <c r="AX34" s="129"/>
      <c r="AY34" s="129"/>
      <c r="AZ34" s="154"/>
      <c r="BA34" s="154"/>
      <c r="BB34" s="154"/>
      <c r="BC34" s="154"/>
      <c r="BD34" s="154"/>
      <c r="BE34" s="154"/>
      <c r="BF34" s="154"/>
    </row>
    <row r="35" spans="1:58" ht="12.75" customHeight="1" x14ac:dyDescent="0.2">
      <c r="A35" s="34"/>
      <c r="B35" s="24" t="str">
        <f t="shared" si="0"/>
        <v>Sa</v>
      </c>
      <c r="C35" s="25">
        <f t="shared" si="22"/>
        <v>45563</v>
      </c>
      <c r="D35" s="51"/>
      <c r="E35" s="116"/>
      <c r="F35" s="52"/>
      <c r="G35" s="53"/>
      <c r="H35" s="54"/>
      <c r="I35" s="55"/>
      <c r="J35" s="54"/>
      <c r="K35" s="55"/>
      <c r="L35" s="40">
        <f t="shared" si="1"/>
        <v>0</v>
      </c>
      <c r="M35" s="41">
        <f t="shared" si="23"/>
        <v>0</v>
      </c>
      <c r="N35" s="42">
        <f>IF(AND(D35&lt;&gt;"Jour libre 4/5",B35&lt;&gt;"Sa",B35&lt;&gt;"Di"),SUM(N34,Configuration!$H$41),SUM(N34))</f>
        <v>6.3333333333333304</v>
      </c>
      <c r="O35" s="49" t="str">
        <f t="shared" si="24"/>
        <v>-</v>
      </c>
      <c r="P35" s="143">
        <f t="shared" si="17"/>
        <v>6.3333333333333304</v>
      </c>
      <c r="Q35" s="167">
        <f t="shared" si="18"/>
        <v>0</v>
      </c>
      <c r="R35" s="168">
        <f t="shared" si="18"/>
        <v>0</v>
      </c>
      <c r="S35" s="168">
        <f t="shared" si="18"/>
        <v>0</v>
      </c>
      <c r="T35" s="169">
        <f t="shared" si="18"/>
        <v>0</v>
      </c>
      <c r="U35" s="97">
        <f t="shared" si="2"/>
        <v>0</v>
      </c>
      <c r="V35" s="97">
        <f t="shared" si="3"/>
        <v>0</v>
      </c>
      <c r="W35" s="97">
        <f t="shared" si="4"/>
        <v>0</v>
      </c>
      <c r="X35" s="97">
        <f t="shared" si="5"/>
        <v>0</v>
      </c>
      <c r="Y35" s="209"/>
      <c r="Z35" s="210"/>
      <c r="AA35" s="210"/>
      <c r="AB35" s="128">
        <f>IF(AND(D35="Jour férié semaine",((G35-F35)+(I35-H35)+(K35-J35)=0)),VLOOKUP(D35,Systeemgegevens!$J:$K,2,FALSE),0)</f>
        <v>0</v>
      </c>
      <c r="AC35" s="43">
        <f>IF(AND(NOT(ISERROR(FIND("Congé",D35))),ISERROR(FIND("1/2",D35)),ISERROR(FIND("Synd",D35)),ISERROR(FIND("synd",D35)),(G35-F35+I35-H35+K35-J35)=0),VLOOKUP(D35,Systeemgegevens!$J:$K,2,FALSE),IF(AND(NOT(ISERROR(FIND("1/2 Congé + ",D35))),(G35-F35+I35-H35+K35-J35)=0),VLOOKUP(D35,Systeemgegevens!$J:$K,2,FALSE)/2,IF(AND(NOT(ISERROR(FIND("1/2 Congé",D35))),ISERROR(FIND(" + ",D35)),ISERROR(FIND("1/2 Congé Synd.",D35))),VLOOKUP(D35,Systeemgegevens!$J:$K,2,FALSE),0)))</f>
        <v>0</v>
      </c>
      <c r="AD35" s="43">
        <f>IF(AND(OR(D35="1/2 Congé Synd.",D35="Congé Synd."),((G35-F35)+(I35-H35)+(K35-J35)=0)),VLOOKUP(D35,Systeemgegevens!$J:$K,2,FALSE),IF(AND(D35="1/2 Congé + 1/2 synd.",((G35-F35)+(I35-H35)+(K35-J35)=0)),AC35,0))</f>
        <v>0</v>
      </c>
      <c r="AE35" s="43">
        <f>IF(AND(D35="Jour de pont",((G35-F35)+(I35-H35)+(K35-J35)=0)),VLOOKUP(D35,Systeemgegevens!$J:$K,2,FALSE),0)</f>
        <v>0</v>
      </c>
      <c r="AF35" s="43">
        <f>IF(AND(D35="Jour libre 4/5",AND((G35-F35)+(I35-H35)+(K35-J35)=0)),VLOOKUP(D35,Systeemgegevens!$J:$K,2,FALSE),0)</f>
        <v>0</v>
      </c>
      <c r="AG35" s="118">
        <f>IF(AND(D35&lt;&gt;"",SUM(AB35:AF35)=0,D35&lt;&gt;$AB$4,D35&lt;&gt;$AC$4,D35&lt;&gt;$AE$4,D35&lt;&gt;$AF$4),VLOOKUP(D35,Systeemgegevens!$J:$K,2,FALSE),0)</f>
        <v>0</v>
      </c>
      <c r="AH35" s="119">
        <f t="shared" si="6"/>
        <v>0</v>
      </c>
      <c r="AI35" s="101">
        <f t="shared" si="7"/>
        <v>0</v>
      </c>
      <c r="AJ35" s="118">
        <f t="shared" si="19"/>
        <v>0</v>
      </c>
      <c r="AK35" s="119">
        <f t="shared" si="8"/>
        <v>0</v>
      </c>
      <c r="AL35" s="101">
        <f t="shared" si="9"/>
        <v>0</v>
      </c>
      <c r="AM35" s="43">
        <f t="shared" si="20"/>
        <v>0</v>
      </c>
      <c r="AN35" s="118">
        <f t="shared" si="21"/>
        <v>0</v>
      </c>
      <c r="AO35" s="122">
        <f t="shared" si="10"/>
        <v>0</v>
      </c>
      <c r="AP35" s="107">
        <f t="shared" si="11"/>
        <v>0</v>
      </c>
      <c r="AQ35" s="107">
        <f t="shared" si="12"/>
        <v>0</v>
      </c>
      <c r="AR35" s="123">
        <f t="shared" si="13"/>
        <v>0</v>
      </c>
      <c r="AS35" s="124">
        <f t="shared" si="14"/>
        <v>0</v>
      </c>
      <c r="AT35" s="124">
        <f t="shared" si="15"/>
        <v>0</v>
      </c>
      <c r="AU35" s="124">
        <f t="shared" si="16"/>
        <v>0</v>
      </c>
      <c r="AV35" s="117" t="s">
        <v>11</v>
      </c>
      <c r="AW35" s="129">
        <f>IF(($R$40=AV35)*AND($R$41&lt;&gt;""),VLOOKUP($R$41,'Barèmes police'!$K$40:$L$66,2),0)</f>
        <v>0</v>
      </c>
      <c r="AX35" s="129"/>
      <c r="AY35" s="129"/>
      <c r="AZ35" s="154"/>
      <c r="BA35" s="154"/>
      <c r="BB35" s="154"/>
      <c r="BC35" s="154"/>
      <c r="BD35" s="154"/>
      <c r="BE35" s="154"/>
      <c r="BF35" s="154"/>
    </row>
    <row r="36" spans="1:58" ht="12.75" customHeight="1" x14ac:dyDescent="0.2">
      <c r="A36" s="34"/>
      <c r="B36" s="24" t="str">
        <f t="shared" si="0"/>
        <v>Di</v>
      </c>
      <c r="C36" s="25">
        <f t="shared" si="22"/>
        <v>45564</v>
      </c>
      <c r="D36" s="51"/>
      <c r="E36" s="116"/>
      <c r="F36" s="52"/>
      <c r="G36" s="53"/>
      <c r="H36" s="54"/>
      <c r="I36" s="55"/>
      <c r="J36" s="54"/>
      <c r="K36" s="55"/>
      <c r="L36" s="40">
        <f t="shared" si="1"/>
        <v>0</v>
      </c>
      <c r="M36" s="41">
        <f t="shared" si="23"/>
        <v>0</v>
      </c>
      <c r="N36" s="42">
        <f>IF(AND(D36&lt;&gt;"Jour libre 4/5",B36&lt;&gt;"Sa",B36&lt;&gt;"Di"),SUM(N35,Configuration!$H$41),SUM(N35))</f>
        <v>6.3333333333333304</v>
      </c>
      <c r="O36" s="49" t="str">
        <f t="shared" si="24"/>
        <v>-</v>
      </c>
      <c r="P36" s="143">
        <f t="shared" si="17"/>
        <v>6.3333333333333304</v>
      </c>
      <c r="Q36" s="167">
        <f t="shared" si="18"/>
        <v>0</v>
      </c>
      <c r="R36" s="168">
        <f t="shared" si="18"/>
        <v>0</v>
      </c>
      <c r="S36" s="168">
        <f t="shared" si="18"/>
        <v>0</v>
      </c>
      <c r="T36" s="169">
        <f t="shared" si="18"/>
        <v>0</v>
      </c>
      <c r="U36" s="97">
        <f t="shared" si="2"/>
        <v>0</v>
      </c>
      <c r="V36" s="97">
        <f t="shared" si="3"/>
        <v>0</v>
      </c>
      <c r="W36" s="97">
        <f t="shared" si="4"/>
        <v>0</v>
      </c>
      <c r="X36" s="97">
        <f t="shared" si="5"/>
        <v>0</v>
      </c>
      <c r="Y36" s="209"/>
      <c r="Z36" s="210"/>
      <c r="AA36" s="210"/>
      <c r="AB36" s="128">
        <f>IF(AND(D36="Jour férié semaine",((G36-F36)+(I36-H36)+(K36-J36)=0)),VLOOKUP(D36,Systeemgegevens!$J:$K,2,FALSE),0)</f>
        <v>0</v>
      </c>
      <c r="AC36" s="43">
        <f>IF(AND(NOT(ISERROR(FIND("Congé",D36))),ISERROR(FIND("1/2",D36)),ISERROR(FIND("Synd",D36)),ISERROR(FIND("synd",D36)),(G36-F36+I36-H36+K36-J36)=0),VLOOKUP(D36,Systeemgegevens!$J:$K,2,FALSE),IF(AND(NOT(ISERROR(FIND("1/2 Congé + ",D36))),(G36-F36+I36-H36+K36-J36)=0),VLOOKUP(D36,Systeemgegevens!$J:$K,2,FALSE)/2,IF(AND(NOT(ISERROR(FIND("1/2 Congé",D36))),ISERROR(FIND(" + ",D36)),ISERROR(FIND("1/2 Congé Synd.",D36))),VLOOKUP(D36,Systeemgegevens!$J:$K,2,FALSE),0)))</f>
        <v>0</v>
      </c>
      <c r="AD36" s="43">
        <f>IF(AND(OR(D36="1/2 Congé Synd.",D36="Congé Synd."),((G36-F36)+(I36-H36)+(K36-J36)=0)),VLOOKUP(D36,Systeemgegevens!$J:$K,2,FALSE),IF(AND(D36="1/2 Congé + 1/2 synd.",((G36-F36)+(I36-H36)+(K36-J36)=0)),AC36,0))</f>
        <v>0</v>
      </c>
      <c r="AE36" s="43">
        <f>IF(AND(D36="Jour de pont",((G36-F36)+(I36-H36)+(K36-J36)=0)),VLOOKUP(D36,Systeemgegevens!$J:$K,2,FALSE),0)</f>
        <v>0</v>
      </c>
      <c r="AF36" s="43">
        <f>IF(AND(D36="Jour libre 4/5",AND((G36-F36)+(I36-H36)+(K36-J36)=0)),VLOOKUP(D36,Systeemgegevens!$J:$K,2,FALSE),0)</f>
        <v>0</v>
      </c>
      <c r="AG36" s="118">
        <f>IF(AND(D36&lt;&gt;"",SUM(AB36:AF36)=0,D36&lt;&gt;$AB$4,D36&lt;&gt;$AC$4,D36&lt;&gt;$AE$4,D36&lt;&gt;$AF$4),VLOOKUP(D36,Systeemgegevens!$J:$K,2,FALSE),0)</f>
        <v>0</v>
      </c>
      <c r="AH36" s="119">
        <f t="shared" si="6"/>
        <v>0</v>
      </c>
      <c r="AI36" s="101">
        <f t="shared" si="7"/>
        <v>0</v>
      </c>
      <c r="AJ36" s="118">
        <f t="shared" si="19"/>
        <v>0</v>
      </c>
      <c r="AK36" s="119">
        <f t="shared" si="8"/>
        <v>0</v>
      </c>
      <c r="AL36" s="101">
        <f t="shared" si="9"/>
        <v>0</v>
      </c>
      <c r="AM36" s="43">
        <f t="shared" si="20"/>
        <v>0</v>
      </c>
      <c r="AN36" s="118">
        <f t="shared" si="21"/>
        <v>0</v>
      </c>
      <c r="AO36" s="122">
        <f t="shared" si="10"/>
        <v>0</v>
      </c>
      <c r="AP36" s="107">
        <f t="shared" si="11"/>
        <v>0</v>
      </c>
      <c r="AQ36" s="107">
        <f t="shared" si="12"/>
        <v>0</v>
      </c>
      <c r="AR36" s="123">
        <f t="shared" si="13"/>
        <v>0</v>
      </c>
      <c r="AS36" s="124">
        <f t="shared" si="14"/>
        <v>0</v>
      </c>
      <c r="AT36" s="124">
        <f t="shared" si="15"/>
        <v>0</v>
      </c>
      <c r="AU36" s="124">
        <f t="shared" si="16"/>
        <v>0</v>
      </c>
      <c r="AV36" s="117" t="s">
        <v>2</v>
      </c>
      <c r="AW36" s="129">
        <f>IF(($R$40=AV36)*AND($R$41&lt;&gt;""),VLOOKUP($R$41,'Barèmes police'!$AR$40:$AS$66,2),0)</f>
        <v>0</v>
      </c>
      <c r="AX36" s="129"/>
      <c r="AY36" s="129"/>
      <c r="AZ36" s="154"/>
      <c r="BA36" s="154"/>
      <c r="BB36" s="154"/>
      <c r="BC36" s="154"/>
      <c r="BD36" s="154"/>
      <c r="BE36" s="154"/>
      <c r="BF36" s="154"/>
    </row>
    <row r="37" spans="1:58" ht="12.75" customHeight="1" x14ac:dyDescent="0.2">
      <c r="A37" s="34"/>
      <c r="B37" s="196" t="str">
        <f t="shared" si="0"/>
        <v>Lu</v>
      </c>
      <c r="C37" s="25">
        <f t="shared" si="22"/>
        <v>45565</v>
      </c>
      <c r="D37" s="197"/>
      <c r="E37" s="56"/>
      <c r="F37" s="149"/>
      <c r="G37" s="150"/>
      <c r="H37" s="57"/>
      <c r="I37" s="58"/>
      <c r="J37" s="57"/>
      <c r="K37" s="58"/>
      <c r="L37" s="44">
        <f t="shared" si="1"/>
        <v>0</v>
      </c>
      <c r="M37" s="46">
        <f t="shared" si="23"/>
        <v>0</v>
      </c>
      <c r="N37" s="198">
        <f>IF(AND(D37&lt;&gt;"Jour libre 4/5",B37&lt;&gt;"Sa",B37&lt;&gt;"Di"),SUM(N36,Configuration!$H$41),SUM(N36))</f>
        <v>6.6499999999999968</v>
      </c>
      <c r="O37" s="50" t="str">
        <f t="shared" si="24"/>
        <v>-</v>
      </c>
      <c r="P37" s="142">
        <f t="shared" si="17"/>
        <v>6.6499999999999968</v>
      </c>
      <c r="Q37" s="170">
        <f t="shared" si="18"/>
        <v>0</v>
      </c>
      <c r="R37" s="171">
        <f t="shared" si="18"/>
        <v>0</v>
      </c>
      <c r="S37" s="171">
        <f t="shared" si="18"/>
        <v>0</v>
      </c>
      <c r="T37" s="172">
        <f t="shared" si="18"/>
        <v>0</v>
      </c>
      <c r="U37" s="98">
        <f t="shared" si="2"/>
        <v>0</v>
      </c>
      <c r="V37" s="98">
        <f t="shared" si="3"/>
        <v>0</v>
      </c>
      <c r="W37" s="98">
        <f t="shared" si="4"/>
        <v>0</v>
      </c>
      <c r="X37" s="98">
        <f t="shared" si="5"/>
        <v>0</v>
      </c>
      <c r="Y37" s="211"/>
      <c r="Z37" s="212"/>
      <c r="AA37" s="212"/>
      <c r="AB37" s="128">
        <f>IF(AND(D37="Jour férié semaine",((G37-F37)+(I37-H37)+(K37-J37)=0)),VLOOKUP(D37,Systeemgegevens!$J:$K,2,FALSE),0)</f>
        <v>0</v>
      </c>
      <c r="AC37" s="43">
        <f>IF(AND(NOT(ISERROR(FIND("Congé",D37))),ISERROR(FIND("1/2",D37)),ISERROR(FIND("Synd",D37)),ISERROR(FIND("synd",D37)),(G37-F37+I37-H37+K37-J37)=0),VLOOKUP(D37,Systeemgegevens!$J:$K,2,FALSE),IF(AND(NOT(ISERROR(FIND("1/2 Congé + ",D37))),(G37-F37+I37-H37+K37-J37)=0),VLOOKUP(D37,Systeemgegevens!$J:$K,2,FALSE)/2,IF(AND(NOT(ISERROR(FIND("1/2 Congé",D37))),ISERROR(FIND(" + ",D37)),ISERROR(FIND("1/2 Congé Synd.",D37))),VLOOKUP(D37,Systeemgegevens!$J:$K,2,FALSE),0)))</f>
        <v>0</v>
      </c>
      <c r="AD37" s="43">
        <f>IF(AND(OR(D37="1/2 Congé Synd.",D37="Congé Synd."),((G37-F37)+(I37-H37)+(K37-J37)=0)),VLOOKUP(D37,Systeemgegevens!$J:$K,2,FALSE),IF(AND(D37="1/2 Congé + 1/2 synd.",((G37-F37)+(I37-H37)+(K37-J37)=0)),AC37,0))</f>
        <v>0</v>
      </c>
      <c r="AE37" s="43">
        <f>IF(AND(D37="Jour de pont",((G37-F37)+(I37-H37)+(K37-J37)=0)),VLOOKUP(D37,Systeemgegevens!$J:$K,2,FALSE),0)</f>
        <v>0</v>
      </c>
      <c r="AF37" s="43">
        <f>IF(AND(D37="Jour libre 4/5",AND((G37-F37)+(I37-H37)+(K37-J37)=0)),VLOOKUP(D37,Systeemgegevens!$J:$K,2,FALSE),0)</f>
        <v>0</v>
      </c>
      <c r="AG37" s="118">
        <f>IF(AND(D37&lt;&gt;"",SUM(AB37:AF37)=0,D37&lt;&gt;$AB$4,D37&lt;&gt;$AC$4,D37&lt;&gt;$AE$4,D37&lt;&gt;$AF$4),VLOOKUP(D37,Systeemgegevens!$J:$K,2,FALSE),0)</f>
        <v>0</v>
      </c>
      <c r="AH37" s="119">
        <f t="shared" si="6"/>
        <v>0</v>
      </c>
      <c r="AI37" s="101">
        <f t="shared" si="7"/>
        <v>0</v>
      </c>
      <c r="AJ37" s="118">
        <f t="shared" si="19"/>
        <v>0</v>
      </c>
      <c r="AK37" s="119">
        <f t="shared" si="8"/>
        <v>0</v>
      </c>
      <c r="AL37" s="101">
        <f t="shared" si="9"/>
        <v>0</v>
      </c>
      <c r="AM37" s="43">
        <f t="shared" si="20"/>
        <v>0</v>
      </c>
      <c r="AN37" s="118">
        <f t="shared" si="21"/>
        <v>0</v>
      </c>
      <c r="AO37" s="122">
        <f t="shared" si="10"/>
        <v>0</v>
      </c>
      <c r="AP37" s="107">
        <f t="shared" si="11"/>
        <v>0</v>
      </c>
      <c r="AQ37" s="107">
        <f t="shared" si="12"/>
        <v>0</v>
      </c>
      <c r="AR37" s="123">
        <f t="shared" si="13"/>
        <v>0</v>
      </c>
      <c r="AS37" s="124">
        <f t="shared" si="14"/>
        <v>0</v>
      </c>
      <c r="AT37" s="124">
        <f t="shared" si="15"/>
        <v>0</v>
      </c>
      <c r="AU37" s="124">
        <f t="shared" si="16"/>
        <v>0</v>
      </c>
      <c r="AV37" s="117" t="s">
        <v>269</v>
      </c>
      <c r="AW37" s="129">
        <f>IF(($R$40=AV37)*AND($R$41&lt;&gt;""),VLOOKUP($R$41,'Barèmes police'!$AU$40:$AV$66,2),0)</f>
        <v>0</v>
      </c>
      <c r="AX37" s="129"/>
      <c r="AY37" s="129"/>
      <c r="AZ37" s="154"/>
      <c r="BA37" s="154"/>
      <c r="BB37" s="154"/>
      <c r="BC37" s="154"/>
      <c r="BD37" s="154"/>
      <c r="BE37" s="154"/>
      <c r="BF37" s="154"/>
    </row>
    <row r="38" spans="1:58" ht="12.75" customHeight="1" x14ac:dyDescent="0.2">
      <c r="C38" s="281"/>
      <c r="AX38" s="129"/>
      <c r="AY38" s="129"/>
    </row>
    <row r="39" spans="1:58" ht="12.75" customHeight="1" x14ac:dyDescent="0.2">
      <c r="J39" s="215"/>
      <c r="K39" s="215"/>
      <c r="L39" s="215"/>
      <c r="M39" s="216"/>
      <c r="N39" s="215"/>
      <c r="O39" s="217"/>
      <c r="P39" s="215"/>
      <c r="Q39" s="215"/>
      <c r="R39" s="215"/>
      <c r="S39" s="215"/>
      <c r="T39" s="215"/>
      <c r="U39" s="217"/>
      <c r="V39" s="217"/>
      <c r="W39" s="416" t="s">
        <v>212</v>
      </c>
      <c r="X39" s="417"/>
      <c r="Y39" s="23"/>
      <c r="Z39" s="218"/>
      <c r="AA39" s="218"/>
      <c r="AV39" s="117" t="s">
        <v>8</v>
      </c>
      <c r="AW39" s="129">
        <f>IF(($R$40=AV39)*AND($R$41&lt;&gt;""),VLOOKUP($R$41,'Barèmes police'!$Z$40:$AA$66,2),0)</f>
        <v>0</v>
      </c>
      <c r="AX39" s="129"/>
      <c r="AY39" s="129"/>
    </row>
    <row r="40" spans="1:58" ht="12.75" customHeight="1" x14ac:dyDescent="0.2">
      <c r="B40" s="475" t="s">
        <v>201</v>
      </c>
      <c r="C40" s="414"/>
      <c r="D40" s="398"/>
      <c r="E40" s="397" t="s">
        <v>202</v>
      </c>
      <c r="F40" s="398"/>
      <c r="G40" s="414" t="s">
        <v>243</v>
      </c>
      <c r="H40" s="415"/>
      <c r="J40" s="407" t="s">
        <v>239</v>
      </c>
      <c r="K40" s="408"/>
      <c r="L40" s="408"/>
      <c r="M40" s="408"/>
      <c r="N40" s="408"/>
      <c r="O40" s="219"/>
      <c r="P40" s="220"/>
      <c r="Q40" s="220"/>
      <c r="R40" s="405" t="s">
        <v>36</v>
      </c>
      <c r="S40" s="406"/>
      <c r="T40" s="402" t="s">
        <v>213</v>
      </c>
      <c r="U40" s="403"/>
      <c r="V40" s="404"/>
      <c r="W40" s="221">
        <v>1</v>
      </c>
      <c r="X40" s="222" t="s">
        <v>54</v>
      </c>
      <c r="Y40" s="23"/>
      <c r="Z40" s="383" t="s">
        <v>75</v>
      </c>
      <c r="AA40" s="384"/>
      <c r="AV40" s="117" t="s">
        <v>5</v>
      </c>
      <c r="AW40" s="129">
        <f>IF(($R$40=AV40)*AND($R$41&lt;&gt;""),VLOOKUP($R$41,'Barèmes police'!$AI$40:$AJ$66,2),0)</f>
        <v>0</v>
      </c>
      <c r="AX40" s="129"/>
      <c r="AY40" s="129"/>
    </row>
    <row r="41" spans="1:58" ht="12.75" customHeight="1" x14ac:dyDescent="0.2">
      <c r="B41" s="476" t="s">
        <v>205</v>
      </c>
      <c r="C41" s="477"/>
      <c r="D41" s="478"/>
      <c r="E41" s="412">
        <f>Aou!E46</f>
        <v>34</v>
      </c>
      <c r="F41" s="413"/>
      <c r="G41" s="399">
        <f>Aou!G46</f>
        <v>10.766666666666666</v>
      </c>
      <c r="H41" s="399"/>
      <c r="J41" s="223"/>
      <c r="K41" s="224"/>
      <c r="L41" s="224"/>
      <c r="M41" s="224"/>
      <c r="N41" s="224"/>
      <c r="O41" s="225"/>
      <c r="P41" s="226"/>
      <c r="Q41" s="226"/>
      <c r="R41" s="464">
        <v>0</v>
      </c>
      <c r="S41" s="465"/>
      <c r="T41" s="466">
        <f>SUM(AW8:AW201)</f>
        <v>14703.88</v>
      </c>
      <c r="U41" s="467"/>
      <c r="V41" s="468"/>
      <c r="W41" s="213">
        <v>13409.11</v>
      </c>
      <c r="X41" s="214">
        <v>12735.61</v>
      </c>
      <c r="Y41" s="23"/>
      <c r="Z41" s="457">
        <v>2.0398999999999998</v>
      </c>
      <c r="AA41" s="458"/>
      <c r="AV41" s="117" t="s">
        <v>10</v>
      </c>
      <c r="AW41" s="129">
        <f>IF(($R$40=AV41)*AND($R$41&lt;&gt;""),VLOOKUP($R$41,'Barèmes police'!$N$40:$O$66,2),0)</f>
        <v>0</v>
      </c>
      <c r="AX41" s="129"/>
      <c r="AY41" s="129"/>
    </row>
    <row r="42" spans="1:58" ht="12.75" customHeight="1" x14ac:dyDescent="0.2">
      <c r="B42" s="476" t="s">
        <v>203</v>
      </c>
      <c r="C42" s="477"/>
      <c r="D42" s="478"/>
      <c r="E42" s="459">
        <v>0</v>
      </c>
      <c r="F42" s="460"/>
      <c r="G42" s="463">
        <f>E42*Configuration!$H$41</f>
        <v>0</v>
      </c>
      <c r="H42" s="463"/>
      <c r="J42" s="227" t="s">
        <v>215</v>
      </c>
      <c r="K42" s="228"/>
      <c r="L42" s="229"/>
      <c r="M42" s="230">
        <f>IF(MINUTE(SUM(U8:U38))&gt;=30,SUM(U8:U38)+(TIME(1,0,0))-TIME(0,MINUTE(SUM(U8:U38)),0),SUM(U8:U38)-TIME(0,MINUTE(SUM(U8:U38)),0))</f>
        <v>0</v>
      </c>
      <c r="N42" s="219" t="s">
        <v>190</v>
      </c>
      <c r="O42" s="231"/>
      <c r="P42" s="220"/>
      <c r="Q42" s="220"/>
      <c r="R42" s="232"/>
      <c r="S42" s="354">
        <f>IF($R$2="Oui",(M42*AK43*24),0)</f>
        <v>0</v>
      </c>
      <c r="T42" s="355"/>
      <c r="U42" s="355"/>
      <c r="V42" s="233" t="s">
        <v>55</v>
      </c>
      <c r="W42" s="234">
        <f>IF($R$3="Oui",M42*AK48*24,0)</f>
        <v>0</v>
      </c>
      <c r="X42" s="235" t="s">
        <v>55</v>
      </c>
      <c r="Y42" s="23"/>
      <c r="Z42" s="218"/>
      <c r="AA42" s="218"/>
      <c r="AB42" s="352" t="s">
        <v>66</v>
      </c>
      <c r="AC42" s="353"/>
      <c r="AD42" s="353"/>
      <c r="AE42" s="130">
        <f>T41*Z41</f>
        <v>29994.444811999994</v>
      </c>
      <c r="AG42" s="352" t="s">
        <v>64</v>
      </c>
      <c r="AH42" s="353"/>
      <c r="AI42" s="353"/>
      <c r="AJ42" s="353"/>
      <c r="AK42" s="130">
        <f>T41*Z41/1850</f>
        <v>16.213213411891889</v>
      </c>
      <c r="AM42" s="389" t="s">
        <v>163</v>
      </c>
      <c r="AN42" s="390"/>
      <c r="AO42" s="390"/>
      <c r="AP42" s="390"/>
      <c r="AQ42" s="390"/>
      <c r="AR42" s="127"/>
      <c r="AV42" s="18" t="s">
        <v>4</v>
      </c>
      <c r="AW42" s="129">
        <f>IF(($R$40=AV42)*AND($R$41&lt;&gt;""),VLOOKUP($R$41,'Barèmes police'!$AL$40:$AM$66,2),0)</f>
        <v>0</v>
      </c>
      <c r="AX42" s="129"/>
      <c r="AY42" s="129"/>
    </row>
    <row r="43" spans="1:58" ht="12.75" customHeight="1" x14ac:dyDescent="0.2">
      <c r="B43" s="476" t="s">
        <v>260</v>
      </c>
      <c r="C43" s="477"/>
      <c r="D43" s="478"/>
      <c r="E43" s="412">
        <f>SUM(AU8:AU38)</f>
        <v>0</v>
      </c>
      <c r="F43" s="413"/>
      <c r="G43" s="399">
        <f>SUM(AU8:AU38)*Configuration!H41</f>
        <v>0</v>
      </c>
      <c r="H43" s="399"/>
      <c r="J43" s="236" t="s">
        <v>217</v>
      </c>
      <c r="K43" s="237"/>
      <c r="L43" s="238"/>
      <c r="M43" s="239">
        <f>IF(MINUTE(SUM(V8:V38))&gt;=30,SUM(V8:V38)+(TIME(1,0,0))-TIME(0,MINUTE(SUM(V8:V38)),0),SUM(V8:V38)-TIME(0,MINUTE(SUM(V8:V38)),0))</f>
        <v>0</v>
      </c>
      <c r="N43" s="225" t="s">
        <v>190</v>
      </c>
      <c r="O43" s="240"/>
      <c r="P43" s="226"/>
      <c r="Q43" s="226"/>
      <c r="R43" s="232"/>
      <c r="S43" s="354">
        <f>IF($R$2="Oui",M43*AK44*24,0)</f>
        <v>0</v>
      </c>
      <c r="T43" s="355"/>
      <c r="U43" s="355"/>
      <c r="V43" s="233" t="s">
        <v>55</v>
      </c>
      <c r="W43" s="23"/>
      <c r="X43" s="241"/>
      <c r="Y43" s="23"/>
      <c r="Z43" s="377" t="s">
        <v>211</v>
      </c>
      <c r="AA43" s="378"/>
      <c r="AB43" s="358" t="s">
        <v>67</v>
      </c>
      <c r="AC43" s="359"/>
      <c r="AD43" s="359"/>
      <c r="AE43" s="121">
        <f>AE42*0.075</f>
        <v>2249.5833608999997</v>
      </c>
      <c r="AG43" s="358" t="s">
        <v>65</v>
      </c>
      <c r="AH43" s="359"/>
      <c r="AI43" s="359"/>
      <c r="AJ43" s="359"/>
      <c r="AK43" s="136">
        <f>(AK42*0.9645)*AE48</f>
        <v>9.3231635529859105</v>
      </c>
      <c r="AM43" s="391" t="str">
        <f>IF(Configuration!$H$30="Dagen","Aantal dagen beschikbaar:","Aantal uren beschikbaar:")</f>
        <v>Aantal uren beschikbaar:</v>
      </c>
      <c r="AN43" s="392"/>
      <c r="AO43" s="392"/>
      <c r="AP43" s="392"/>
      <c r="AQ43" s="393">
        <f>IF(Configuration!H30="Dagen",Configuration!H45,Configuration!H45)</f>
        <v>99999</v>
      </c>
      <c r="AR43" s="394"/>
      <c r="AV43" s="18" t="s">
        <v>9</v>
      </c>
      <c r="AW43" s="129">
        <f>IF(($R$40=AV43)*AND($R$41&lt;&gt;""),VLOOKUP($R$41,'Barèmes police'!$Q$40:$R$66,2),0)</f>
        <v>0</v>
      </c>
      <c r="AX43" s="129"/>
      <c r="AY43" s="129"/>
    </row>
    <row r="44" spans="1:58" ht="12.75" customHeight="1" x14ac:dyDescent="0.2">
      <c r="B44" s="476" t="s">
        <v>204</v>
      </c>
      <c r="C44" s="477"/>
      <c r="D44" s="478"/>
      <c r="E44" s="412">
        <f>SUM(AC8:AC38)/Configuration!H41</f>
        <v>0</v>
      </c>
      <c r="F44" s="413"/>
      <c r="G44" s="399">
        <f>SUM(AC8:AC38)</f>
        <v>0</v>
      </c>
      <c r="H44" s="399"/>
      <c r="J44" s="236" t="s">
        <v>216</v>
      </c>
      <c r="K44" s="237"/>
      <c r="L44" s="238"/>
      <c r="M44" s="239">
        <f>IF(MINUTE(SUM(W8:W38))&gt;=30,SUM(W8:W38)+(TIME(1,0,0))-TIME(0,MINUTE(SUM(W8:W38)),0),SUM(W8:W38)-TIME(0,MINUTE(SUM(W8:W38)),0))</f>
        <v>0</v>
      </c>
      <c r="N44" s="237" t="s">
        <v>190</v>
      </c>
      <c r="O44" s="225"/>
      <c r="P44" s="225"/>
      <c r="Q44" s="225"/>
      <c r="R44" s="233"/>
      <c r="S44" s="354">
        <f>IF($R$2="Oui",M44*AK45*24,0)</f>
        <v>0</v>
      </c>
      <c r="T44" s="355"/>
      <c r="U44" s="355"/>
      <c r="V44" s="233" t="s">
        <v>55</v>
      </c>
      <c r="W44" s="234"/>
      <c r="X44" s="235"/>
      <c r="Y44" s="23"/>
      <c r="Z44" s="379"/>
      <c r="AA44" s="380"/>
      <c r="AB44" s="358" t="s">
        <v>68</v>
      </c>
      <c r="AC44" s="359"/>
      <c r="AD44" s="359"/>
      <c r="AE44" s="121">
        <f>AE42*0.0355</f>
        <v>1064.8027908259996</v>
      </c>
      <c r="AG44" s="358" t="s">
        <v>77</v>
      </c>
      <c r="AH44" s="359"/>
      <c r="AI44" s="359"/>
      <c r="AJ44" s="359"/>
      <c r="AK44" s="136">
        <f>AK43*0.2</f>
        <v>1.8646327105971823</v>
      </c>
      <c r="AM44" s="391" t="str">
        <f>IF(Configuration!$H$30="Dagen","Opgenomen Congé Synd.dagen:","Opgenomen Congé Synd.uren:")</f>
        <v>Opgenomen Congé Synd.uren:</v>
      </c>
      <c r="AN44" s="392"/>
      <c r="AO44" s="392"/>
      <c r="AP44" s="392"/>
      <c r="AQ44" s="469">
        <f>IF(Configuration!$H$30="Dagen",SUM(AD8:AD38)/Configuration!H41,SUM(AD8:AD38))</f>
        <v>0</v>
      </c>
      <c r="AR44" s="470"/>
      <c r="AV44" s="18" t="s">
        <v>3</v>
      </c>
      <c r="AW44" s="129">
        <f>IF(($R$40=AV44)*AND($R$41&lt;&gt;""),VLOOKUP($R$41,'Barèmes police'!$AO$40:$AP$66,2),0)</f>
        <v>0</v>
      </c>
    </row>
    <row r="45" spans="1:58" ht="12.75" customHeight="1" x14ac:dyDescent="0.2">
      <c r="B45" s="409" t="s">
        <v>254</v>
      </c>
      <c r="C45" s="410"/>
      <c r="D45" s="411"/>
      <c r="E45" s="461">
        <f>E41+E42+E43-E44</f>
        <v>34</v>
      </c>
      <c r="F45" s="462"/>
      <c r="G45" s="400">
        <f>G41+G42+G43-G44</f>
        <v>10.766666666666666</v>
      </c>
      <c r="H45" s="401"/>
      <c r="J45" s="236" t="s">
        <v>218</v>
      </c>
      <c r="K45" s="237"/>
      <c r="L45" s="238"/>
      <c r="M45" s="239">
        <f>IF(MINUTE(SUM(X8:X38))&gt;=30,SUM(X8:X38)+(TIME(1,0,0))-TIME(0,MINUTE(SUM(X8:X38)),0),SUM(X8:X38)-TIME(0,MINUTE(SUM(X8:X38)),0))</f>
        <v>0</v>
      </c>
      <c r="N45" s="237" t="s">
        <v>190</v>
      </c>
      <c r="O45" s="225"/>
      <c r="P45" s="225"/>
      <c r="Q45" s="225"/>
      <c r="R45" s="233"/>
      <c r="S45" s="242"/>
      <c r="T45" s="242"/>
      <c r="U45" s="242"/>
      <c r="V45" s="243"/>
      <c r="W45" s="234">
        <f>IF($R$3="Oui",M45*AK51*24,0)</f>
        <v>0</v>
      </c>
      <c r="X45" s="235" t="s">
        <v>55</v>
      </c>
      <c r="Y45" s="23"/>
      <c r="Z45" s="381">
        <f>AE47</f>
        <v>0.40380000000000005</v>
      </c>
      <c r="AA45" s="382"/>
      <c r="AB45" s="348" t="s">
        <v>69</v>
      </c>
      <c r="AC45" s="349"/>
      <c r="AD45" s="349"/>
      <c r="AE45" s="132">
        <f>AE42-AE43-AE44</f>
        <v>26680.058660273993</v>
      </c>
      <c r="AG45" s="348" t="s">
        <v>78</v>
      </c>
      <c r="AH45" s="349"/>
      <c r="AI45" s="349"/>
      <c r="AJ45" s="349"/>
      <c r="AK45" s="132">
        <f>AK43*0.35</f>
        <v>3.2631072435450683</v>
      </c>
      <c r="AM45" s="375" t="str">
        <f>IF(Configuration!$H$30="Dagen","Resterend aantal dagen:","Resterend aantal uren:")</f>
        <v>Resterend aantal uren:</v>
      </c>
      <c r="AN45" s="376"/>
      <c r="AO45" s="376"/>
      <c r="AP45" s="376"/>
      <c r="AQ45" s="366">
        <f>AQ43-AQ44</f>
        <v>99999</v>
      </c>
      <c r="AR45" s="367"/>
      <c r="AV45" s="18" t="s">
        <v>1</v>
      </c>
      <c r="AW45" s="129">
        <f>IF(($R$40=AV45)*AND($R$41&lt;&gt;""),VLOOKUP($R$41,'Barèmes police'!$T$40:$U$69,2),0)</f>
        <v>0</v>
      </c>
    </row>
    <row r="46" spans="1:58" ht="12.75" customHeight="1" x14ac:dyDescent="0.2">
      <c r="B46" s="23"/>
      <c r="C46" s="23"/>
      <c r="D46" s="23"/>
      <c r="E46" s="23"/>
      <c r="F46" s="23"/>
      <c r="G46" s="23"/>
      <c r="J46" s="236" t="s">
        <v>219</v>
      </c>
      <c r="K46" s="237"/>
      <c r="L46" s="238"/>
      <c r="M46" s="244">
        <f>COUNTIF($Q$8:$Q$37,"1")</f>
        <v>0</v>
      </c>
      <c r="N46" s="225"/>
      <c r="O46" s="362" t="s">
        <v>223</v>
      </c>
      <c r="P46" s="363"/>
      <c r="Q46" s="363"/>
      <c r="R46" s="245">
        <f>COUNTIF($Q$8:$Q$37,"2")</f>
        <v>0</v>
      </c>
      <c r="S46" s="354">
        <f>IF($R$2="Oui",(M46*AE51*Z41+(R46*Z41*2.48)),0)</f>
        <v>0</v>
      </c>
      <c r="T46" s="355"/>
      <c r="U46" s="355"/>
      <c r="V46" s="233" t="s">
        <v>55</v>
      </c>
      <c r="W46" s="234">
        <f>IF($R$3="Oui",(M46*AE51*Z41+(R46*AE51*6.2)),0)</f>
        <v>0</v>
      </c>
      <c r="X46" s="235" t="s">
        <v>55</v>
      </c>
      <c r="Y46" s="23"/>
      <c r="Z46" s="218"/>
      <c r="AA46" s="218"/>
      <c r="AV46" s="18" t="s">
        <v>0</v>
      </c>
      <c r="AW46" s="129">
        <f>IF(($R$40=AV46)*AND($R$41&lt;&gt;""),VLOOKUP($R$41,'Barèmes police'!$W$40:$X$69,2),0)</f>
        <v>0</v>
      </c>
    </row>
    <row r="47" spans="1:58" ht="12.75" customHeight="1" x14ac:dyDescent="0.2">
      <c r="B47" s="368" t="s">
        <v>206</v>
      </c>
      <c r="C47" s="369"/>
      <c r="D47" s="369"/>
      <c r="E47" s="369"/>
      <c r="F47" s="370" t="s">
        <v>180</v>
      </c>
      <c r="G47" s="371"/>
      <c r="J47" s="236" t="s">
        <v>220</v>
      </c>
      <c r="K47" s="237"/>
      <c r="L47" s="238"/>
      <c r="M47" s="244">
        <f>COUNTIF($R$8:$R$37,"1")</f>
        <v>0</v>
      </c>
      <c r="N47" s="225"/>
      <c r="O47" s="362" t="s">
        <v>224</v>
      </c>
      <c r="P47" s="363"/>
      <c r="Q47" s="363"/>
      <c r="R47" s="245">
        <f>COUNTIF($R$8:$R$37,"2")</f>
        <v>0</v>
      </c>
      <c r="S47" s="354">
        <f>IF($R$2="Oui",(M47*AE52*Z41+(R47*Z41*6.2)),0)</f>
        <v>0</v>
      </c>
      <c r="T47" s="355"/>
      <c r="U47" s="355"/>
      <c r="V47" s="233" t="s">
        <v>55</v>
      </c>
      <c r="W47" s="234">
        <f>IF($R$3="Oui",(M47*AE52*Z41+(R47*AE52*6.2)),0)</f>
        <v>0</v>
      </c>
      <c r="X47" s="235" t="s">
        <v>55</v>
      </c>
      <c r="Y47" s="23"/>
      <c r="Z47" s="383" t="s">
        <v>258</v>
      </c>
      <c r="AA47" s="384"/>
      <c r="AB47" s="352" t="s">
        <v>70</v>
      </c>
      <c r="AC47" s="353"/>
      <c r="AD47" s="353"/>
      <c r="AE47" s="134">
        <f>VLOOKUP(AE45,Systeemgegevens!C3:E14,3)/100</f>
        <v>0.40380000000000005</v>
      </c>
      <c r="AG47" s="352" t="s">
        <v>72</v>
      </c>
      <c r="AH47" s="353"/>
      <c r="AI47" s="353"/>
      <c r="AJ47" s="353"/>
      <c r="AK47" s="133">
        <f>X41*1.2434/1850</f>
        <v>8.5597067427027032</v>
      </c>
      <c r="AV47" s="18" t="s">
        <v>61</v>
      </c>
      <c r="AW47" s="129">
        <f>IF(($R$40=AV47)*AND($R$41&lt;&gt;""),VLOOKUP($R$41,'Barèmes police'!$BM$4:$BN$39,2),0)</f>
        <v>0</v>
      </c>
    </row>
    <row r="48" spans="1:58" s="141" customFormat="1" ht="12.75" customHeight="1" x14ac:dyDescent="0.2">
      <c r="A48" s="17"/>
      <c r="B48" s="17"/>
      <c r="C48" s="17"/>
      <c r="D48" s="17"/>
      <c r="E48" s="17"/>
      <c r="F48" s="17"/>
      <c r="G48" s="17"/>
      <c r="H48" s="17"/>
      <c r="I48" s="17"/>
      <c r="J48" s="236" t="s">
        <v>221</v>
      </c>
      <c r="K48" s="237"/>
      <c r="L48" s="238"/>
      <c r="M48" s="244">
        <f>COUNTIF($S$8:$S$37, "1")</f>
        <v>0</v>
      </c>
      <c r="N48" s="225"/>
      <c r="O48" s="362" t="s">
        <v>225</v>
      </c>
      <c r="P48" s="363"/>
      <c r="Q48" s="363"/>
      <c r="R48" s="245">
        <f>COUNTIF($S$8:$S$37, "2")</f>
        <v>0</v>
      </c>
      <c r="S48" s="354">
        <f>IF($R$2="Oui",(M48*AE53*Z41+(R48*Z41*6.2)),0)</f>
        <v>0</v>
      </c>
      <c r="T48" s="355"/>
      <c r="U48" s="355"/>
      <c r="V48" s="233" t="s">
        <v>55</v>
      </c>
      <c r="W48" s="234">
        <f>IF($R$3="Oui",(M48*AE53*Z41+(R48*AE53*6.2)),0)</f>
        <v>0</v>
      </c>
      <c r="X48" s="235" t="s">
        <v>55</v>
      </c>
      <c r="Y48" s="23"/>
      <c r="Z48" s="364">
        <v>0.23</v>
      </c>
      <c r="AA48" s="365"/>
      <c r="AB48" s="348" t="s">
        <v>71</v>
      </c>
      <c r="AC48" s="349"/>
      <c r="AD48" s="349"/>
      <c r="AE48" s="135">
        <f>1-AE47</f>
        <v>0.59619999999999995</v>
      </c>
      <c r="AG48" s="358" t="s">
        <v>73</v>
      </c>
      <c r="AH48" s="359"/>
      <c r="AI48" s="359"/>
      <c r="AJ48" s="359"/>
      <c r="AK48" s="121">
        <f>AK47*0.9645*AE48*1.45</f>
        <v>7.1370886606880939</v>
      </c>
      <c r="AV48" s="18" t="s">
        <v>263</v>
      </c>
      <c r="AW48" s="218">
        <f>IF(($R$40=AV48)*AND($R$41&lt;&gt;""),VLOOKUP($R$41,'Barèmes police'!$AX$40:$AY$70,2),0)</f>
        <v>0</v>
      </c>
      <c r="AZ48" s="17"/>
      <c r="BA48" s="17"/>
      <c r="BB48" s="17"/>
      <c r="BC48" s="17"/>
      <c r="BD48" s="17"/>
      <c r="BE48" s="17"/>
      <c r="BF48" s="17"/>
    </row>
    <row r="49" spans="1:58" s="141" customFormat="1" ht="12.75" customHeight="1" x14ac:dyDescent="0.2">
      <c r="A49" s="17"/>
      <c r="B49" s="372" t="s">
        <v>207</v>
      </c>
      <c r="C49" s="373"/>
      <c r="D49" s="373"/>
      <c r="E49" s="373"/>
      <c r="F49" s="373"/>
      <c r="G49" s="374"/>
      <c r="H49" s="17"/>
      <c r="I49" s="17"/>
      <c r="J49" s="236" t="s">
        <v>222</v>
      </c>
      <c r="K49" s="237"/>
      <c r="L49" s="238"/>
      <c r="M49" s="244">
        <f>COUNTIF($T$8:$T$37,"1")</f>
        <v>0</v>
      </c>
      <c r="N49" s="225"/>
      <c r="O49" s="362" t="s">
        <v>226</v>
      </c>
      <c r="P49" s="363"/>
      <c r="Q49" s="363"/>
      <c r="R49" s="245">
        <f>COUNTIF($T$8:$T$37,"2")</f>
        <v>0</v>
      </c>
      <c r="S49" s="354">
        <f>IF($R$2="Oui",(M49*AE54*Z41+(R49*Z41*3.48)),0)</f>
        <v>0</v>
      </c>
      <c r="T49" s="355"/>
      <c r="U49" s="355"/>
      <c r="V49" s="233" t="s">
        <v>55</v>
      </c>
      <c r="W49" s="234">
        <f>IF($R$3="Oui",(M49*AE54*Z41+(R49*AE54*6.2)),0)</f>
        <v>0</v>
      </c>
      <c r="X49" s="235" t="s">
        <v>55</v>
      </c>
      <c r="Y49" s="23"/>
      <c r="Z49" s="246"/>
      <c r="AA49" s="246"/>
      <c r="AB49" s="148"/>
      <c r="AC49" s="148"/>
      <c r="AD49" s="148"/>
      <c r="AE49" s="153"/>
      <c r="AG49" s="147"/>
      <c r="AH49" s="148"/>
      <c r="AI49" s="148"/>
      <c r="AJ49" s="148"/>
      <c r="AK49" s="121"/>
      <c r="AV49" s="18" t="s">
        <v>264</v>
      </c>
      <c r="AW49" s="218">
        <f>IF(($R$40=AV49)*AND($R$41&lt;&gt;""),VLOOKUP($R$41,'Barèmes police'!$BA$40:$BB$70,2),0)</f>
        <v>0</v>
      </c>
      <c r="AZ49" s="17"/>
      <c r="BA49" s="17"/>
      <c r="BB49" s="17"/>
      <c r="BC49" s="17"/>
      <c r="BD49" s="17"/>
      <c r="BE49" s="17"/>
      <c r="BF49" s="17"/>
    </row>
    <row r="50" spans="1:58" s="141" customFormat="1" ht="12.75" customHeight="1" x14ac:dyDescent="0.2">
      <c r="A50" s="17"/>
      <c r="B50" s="395" t="s">
        <v>208</v>
      </c>
      <c r="C50" s="396"/>
      <c r="D50" s="396"/>
      <c r="E50" s="396"/>
      <c r="F50" s="151"/>
      <c r="G50" s="152"/>
      <c r="H50" s="17"/>
      <c r="I50" s="17"/>
      <c r="J50" s="236" t="s">
        <v>227</v>
      </c>
      <c r="K50" s="237"/>
      <c r="L50" s="238"/>
      <c r="M50" s="239">
        <f>IF(P37-F51&gt;=1/49,IF(AND(O37="+",F47="Oui"),IF(MINUTE(P37-F51)&gt;=30,P37-F51+(TIME(1,0,0))-TIME(0,MINUTE(P37-F51),0),P37-F51-TIME(0,MINUTE(P37-F51),0)),0),0)</f>
        <v>0</v>
      </c>
      <c r="N50" s="225" t="s">
        <v>190</v>
      </c>
      <c r="O50" s="360" t="s">
        <v>253</v>
      </c>
      <c r="P50" s="360"/>
      <c r="Q50" s="360"/>
      <c r="R50" s="361"/>
      <c r="S50" s="354">
        <f>IF($R$2="Oui",M50*AK43*24,0)</f>
        <v>0</v>
      </c>
      <c r="T50" s="355"/>
      <c r="U50" s="355"/>
      <c r="V50" s="233" t="s">
        <v>55</v>
      </c>
      <c r="W50" s="234">
        <f>IF($R$3="Oui",M50*AK50*24,0)</f>
        <v>0</v>
      </c>
      <c r="X50" s="235" t="s">
        <v>55</v>
      </c>
      <c r="Y50" s="23"/>
      <c r="Z50" s="246"/>
      <c r="AA50" s="246"/>
      <c r="AG50" s="358" t="s">
        <v>74</v>
      </c>
      <c r="AH50" s="359"/>
      <c r="AI50" s="359"/>
      <c r="AJ50" s="359"/>
      <c r="AK50" s="121">
        <f>(W41*1.2434/1850)*0.9645*AE48</f>
        <v>5.1824281750374874</v>
      </c>
      <c r="AV50" s="18" t="s">
        <v>265</v>
      </c>
      <c r="AW50" s="218">
        <f>IF(($R$40=AV50)*AND($R$41&lt;&gt;""),VLOOKUP($R$41,'Barèmes police'!$BD$40:$BE$70,2),0)</f>
        <v>0</v>
      </c>
      <c r="AZ50" s="17"/>
      <c r="BA50" s="17"/>
      <c r="BB50" s="17"/>
      <c r="BC50" s="17"/>
      <c r="BD50" s="17"/>
      <c r="BE50" s="17"/>
      <c r="BF50" s="17"/>
    </row>
    <row r="51" spans="1:58" s="141" customFormat="1" ht="12.75" customHeight="1" x14ac:dyDescent="0.2">
      <c r="A51" s="17"/>
      <c r="B51" s="385" t="s">
        <v>209</v>
      </c>
      <c r="C51" s="386"/>
      <c r="D51" s="386"/>
      <c r="E51" s="386"/>
      <c r="F51" s="356">
        <v>0</v>
      </c>
      <c r="G51" s="357"/>
      <c r="H51" s="17"/>
      <c r="I51" s="17"/>
      <c r="J51" s="236" t="s">
        <v>228</v>
      </c>
      <c r="K51" s="237"/>
      <c r="L51" s="238"/>
      <c r="M51" s="247">
        <f>SUM(AT8:AT38)</f>
        <v>0</v>
      </c>
      <c r="N51" s="225" t="s">
        <v>214</v>
      </c>
      <c r="O51" s="360"/>
      <c r="P51" s="360"/>
      <c r="Q51" s="360"/>
      <c r="R51" s="361"/>
      <c r="S51" s="354">
        <f>IF($R$2="Oui",M51*6.7*Z41,0)</f>
        <v>0</v>
      </c>
      <c r="T51" s="355"/>
      <c r="U51" s="355"/>
      <c r="V51" s="233" t="s">
        <v>55</v>
      </c>
      <c r="W51" s="234">
        <f>IF($R$3="Oui",M51*6.7*Z41,0)</f>
        <v>0</v>
      </c>
      <c r="X51" s="235" t="s">
        <v>55</v>
      </c>
      <c r="Y51" s="23"/>
      <c r="Z51" s="246"/>
      <c r="AA51" s="246"/>
      <c r="AB51" s="352" t="s">
        <v>79</v>
      </c>
      <c r="AC51" s="353"/>
      <c r="AD51" s="353"/>
      <c r="AE51" s="133">
        <v>1.24</v>
      </c>
      <c r="AG51" s="348" t="s">
        <v>76</v>
      </c>
      <c r="AH51" s="349"/>
      <c r="AI51" s="349"/>
      <c r="AJ51" s="349"/>
      <c r="AK51" s="131">
        <f>AK47*0.325*0.9645*AE48</f>
        <v>1.5996922860162968</v>
      </c>
      <c r="AV51" s="18" t="s">
        <v>266</v>
      </c>
      <c r="AW51" s="218">
        <f>IF(($R$40=AV51)*AND($R$41&lt;&gt;""),VLOOKUP($R$41,'Barèmes police'!$BG$40:$BH$70,2),0)</f>
        <v>0</v>
      </c>
      <c r="AZ51" s="17"/>
      <c r="BA51" s="17"/>
      <c r="BB51" s="17"/>
      <c r="BC51" s="17"/>
      <c r="BD51" s="17"/>
      <c r="BE51" s="17"/>
      <c r="BF51" s="17"/>
    </row>
    <row r="52" spans="1:58" s="141" customFormat="1" ht="12.75" customHeight="1" x14ac:dyDescent="0.2">
      <c r="A52" s="17"/>
      <c r="B52" s="387" t="s">
        <v>210</v>
      </c>
      <c r="C52" s="388"/>
      <c r="D52" s="388"/>
      <c r="E52" s="388"/>
      <c r="F52" s="350">
        <v>0</v>
      </c>
      <c r="G52" s="351"/>
      <c r="H52" s="17"/>
      <c r="I52" s="17"/>
      <c r="J52" s="236" t="s">
        <v>229</v>
      </c>
      <c r="K52" s="237"/>
      <c r="L52" s="238"/>
      <c r="M52" s="244">
        <f>SUM(Y8:Y38)</f>
        <v>0</v>
      </c>
      <c r="N52" s="237" t="s">
        <v>56</v>
      </c>
      <c r="O52" s="248"/>
      <c r="P52" s="248"/>
      <c r="Q52" s="248"/>
      <c r="R52" s="249"/>
      <c r="S52" s="354">
        <f>IF($R$2="Oui",M52*Z48,0)</f>
        <v>0</v>
      </c>
      <c r="T52" s="355"/>
      <c r="U52" s="355"/>
      <c r="V52" s="233" t="s">
        <v>55</v>
      </c>
      <c r="W52" s="234">
        <f>IF($R$3="Oui",M52*Z48,0)</f>
        <v>0</v>
      </c>
      <c r="X52" s="235" t="s">
        <v>55</v>
      </c>
      <c r="Y52" s="23"/>
      <c r="Z52" s="246"/>
      <c r="AA52" s="246"/>
      <c r="AB52" s="358" t="s">
        <v>80</v>
      </c>
      <c r="AC52" s="359"/>
      <c r="AD52" s="359"/>
      <c r="AE52" s="121">
        <v>2.48</v>
      </c>
      <c r="AZ52" s="17"/>
      <c r="BA52" s="17"/>
      <c r="BB52" s="17"/>
      <c r="BC52" s="17"/>
      <c r="BD52" s="17"/>
      <c r="BE52" s="17"/>
      <c r="BF52" s="17"/>
    </row>
    <row r="53" spans="1:58" s="141" customFormat="1" ht="12.75" customHeight="1" x14ac:dyDescent="0.2">
      <c r="A53" s="17"/>
      <c r="B53" s="19"/>
      <c r="C53" s="17"/>
      <c r="D53" s="17"/>
      <c r="E53" s="17"/>
      <c r="F53" s="37"/>
      <c r="G53" s="37"/>
      <c r="H53" s="17"/>
      <c r="I53" s="17"/>
      <c r="J53" s="236" t="s">
        <v>244</v>
      </c>
      <c r="K53" s="237"/>
      <c r="L53" s="238"/>
      <c r="M53" s="239">
        <f>IF(MINUTE(SUM(Z8:Z38))&gt;=30,SUM(Z8:Z38)+(TIME(1,0,0))-TIME(0,MINUTE(SUM(Z8:Z38)),0),SUM(Z8:Z38)-TIME(0,MINUTE(SUM(Z8:Z38)),0))</f>
        <v>0</v>
      </c>
      <c r="N53" s="237" t="s">
        <v>190</v>
      </c>
      <c r="O53" s="248"/>
      <c r="P53" s="248"/>
      <c r="Q53" s="248"/>
      <c r="R53" s="249"/>
      <c r="S53" s="354">
        <f>IF($R$2="Oui",M53*AK53*24,0)</f>
        <v>0</v>
      </c>
      <c r="T53" s="355"/>
      <c r="U53" s="355"/>
      <c r="V53" s="233" t="s">
        <v>55</v>
      </c>
      <c r="W53" s="234">
        <f>IF($R$3="Oui",M53*AK53*24,0)</f>
        <v>0</v>
      </c>
      <c r="X53" s="235" t="s">
        <v>55</v>
      </c>
      <c r="Y53" s="23"/>
      <c r="Z53" s="246"/>
      <c r="AA53" s="246"/>
      <c r="AB53" s="358" t="s">
        <v>81</v>
      </c>
      <c r="AC53" s="359"/>
      <c r="AD53" s="359"/>
      <c r="AE53" s="121">
        <v>2.48</v>
      </c>
      <c r="AG53" s="352" t="s">
        <v>83</v>
      </c>
      <c r="AH53" s="353"/>
      <c r="AI53" s="353"/>
      <c r="AJ53" s="353"/>
      <c r="AK53" s="130">
        <f>AK43/24</f>
        <v>0.38846514804107962</v>
      </c>
      <c r="AZ53" s="17"/>
      <c r="BA53" s="17"/>
      <c r="BB53" s="17"/>
      <c r="BC53" s="17"/>
      <c r="BD53" s="17"/>
      <c r="BE53" s="17"/>
      <c r="BF53" s="17"/>
    </row>
    <row r="54" spans="1:58" s="141" customFormat="1" ht="12.75" customHeight="1" x14ac:dyDescent="0.2">
      <c r="A54" s="17"/>
      <c r="B54" s="19"/>
      <c r="C54" s="17"/>
      <c r="D54" s="17"/>
      <c r="E54" s="17"/>
      <c r="F54" s="37"/>
      <c r="G54" s="37"/>
      <c r="H54" s="17"/>
      <c r="I54" s="17"/>
      <c r="J54" s="236" t="s">
        <v>230</v>
      </c>
      <c r="K54" s="237"/>
      <c r="L54" s="238"/>
      <c r="M54" s="239">
        <f>IF(MINUTE(SUM(AA8:AA38))&gt;=30,SUM(AA8:AA38)+(TIME(1,0,0))-TIME(0,MINUTE(SUM(AA8:AA38)),0),SUM(AA8:AA38)-TIME(0,MINUTE(SUM(AA8:AA38)),0))</f>
        <v>0</v>
      </c>
      <c r="N54" s="237" t="s">
        <v>190</v>
      </c>
      <c r="O54" s="248"/>
      <c r="P54" s="248"/>
      <c r="Q54" s="248"/>
      <c r="R54" s="249"/>
      <c r="S54" s="354">
        <f>IF($R$2="Oui",M54*AK54*24,0)</f>
        <v>0</v>
      </c>
      <c r="T54" s="355"/>
      <c r="U54" s="355"/>
      <c r="V54" s="233" t="s">
        <v>55</v>
      </c>
      <c r="W54" s="234">
        <f>IF($R$3="Oui",M54*AK54*24,0)</f>
        <v>0</v>
      </c>
      <c r="X54" s="235" t="s">
        <v>55</v>
      </c>
      <c r="Y54" s="23"/>
      <c r="Z54" s="246"/>
      <c r="AA54" s="246"/>
      <c r="AB54" s="348" t="s">
        <v>82</v>
      </c>
      <c r="AC54" s="349"/>
      <c r="AD54" s="349"/>
      <c r="AE54" s="131">
        <v>1.74</v>
      </c>
      <c r="AG54" s="348" t="s">
        <v>84</v>
      </c>
      <c r="AH54" s="349"/>
      <c r="AI54" s="349"/>
      <c r="AJ54" s="349"/>
      <c r="AK54" s="132">
        <f>AK43/15</f>
        <v>0.62154423686572735</v>
      </c>
      <c r="AZ54" s="17"/>
      <c r="BA54" s="17"/>
      <c r="BB54" s="17"/>
      <c r="BC54" s="17"/>
      <c r="BD54" s="17"/>
      <c r="BE54" s="17"/>
      <c r="BF54" s="17"/>
    </row>
    <row r="55" spans="1:58" s="141" customFormat="1" ht="12.75" customHeight="1" x14ac:dyDescent="0.2">
      <c r="A55" s="17"/>
      <c r="B55" s="19"/>
      <c r="C55" s="17"/>
      <c r="D55" s="17"/>
      <c r="E55" s="17"/>
      <c r="F55" s="37"/>
      <c r="G55" s="37"/>
      <c r="H55" s="17"/>
      <c r="I55" s="17"/>
      <c r="J55" s="223" t="s">
        <v>57</v>
      </c>
      <c r="K55" s="224"/>
      <c r="L55" s="250"/>
      <c r="M55" s="251">
        <f>SUM(AS8:AS38)</f>
        <v>0</v>
      </c>
      <c r="N55" s="225" t="s">
        <v>214</v>
      </c>
      <c r="O55" s="252"/>
      <c r="P55" s="252"/>
      <c r="Q55" s="252"/>
      <c r="R55" s="253"/>
      <c r="S55" s="471">
        <f>IF($R$2="Oui",M55*2.81*Z41*AE48,0)</f>
        <v>0</v>
      </c>
      <c r="T55" s="472"/>
      <c r="U55" s="472"/>
      <c r="V55" s="233" t="s">
        <v>55</v>
      </c>
      <c r="W55" s="234">
        <f>IF($R$3="Oui",M55*2.81*Z41*AE48,0)</f>
        <v>0</v>
      </c>
      <c r="X55" s="235" t="s">
        <v>55</v>
      </c>
      <c r="Y55" s="23"/>
      <c r="Z55" s="246"/>
      <c r="AA55" s="246"/>
      <c r="AZ55" s="17"/>
      <c r="BA55" s="17"/>
      <c r="BB55" s="17"/>
      <c r="BC55" s="17"/>
      <c r="BD55" s="17"/>
      <c r="BE55" s="17"/>
      <c r="BF55" s="17"/>
    </row>
    <row r="56" spans="1:58" s="141" customFormat="1" ht="12.75" customHeight="1" x14ac:dyDescent="0.2">
      <c r="A56" s="17"/>
      <c r="B56" s="19"/>
      <c r="C56" s="17"/>
      <c r="D56" s="17"/>
      <c r="E56" s="17"/>
      <c r="F56" s="37"/>
      <c r="G56" s="37"/>
      <c r="H56" s="17"/>
      <c r="I56" s="17"/>
      <c r="J56" s="254"/>
      <c r="K56" s="254"/>
      <c r="L56" s="24"/>
      <c r="M56" s="255"/>
      <c r="N56" s="256"/>
      <c r="O56" s="257"/>
      <c r="P56" s="23"/>
      <c r="Q56" s="258"/>
      <c r="R56" s="259" t="s">
        <v>262</v>
      </c>
      <c r="S56" s="473">
        <f>IF($R$2="Oui",SUM(S42:U55),0)</f>
        <v>0</v>
      </c>
      <c r="T56" s="474"/>
      <c r="U56" s="474"/>
      <c r="V56" s="260" t="s">
        <v>55</v>
      </c>
      <c r="W56" s="261">
        <f>IF($R$3="Oui",SUM(W42:W55),0)</f>
        <v>0</v>
      </c>
      <c r="X56" s="262" t="s">
        <v>55</v>
      </c>
      <c r="Y56" s="23"/>
      <c r="Z56" s="246"/>
      <c r="AA56" s="246"/>
      <c r="AZ56" s="17"/>
      <c r="BA56" s="17"/>
      <c r="BB56" s="17"/>
      <c r="BC56" s="17"/>
      <c r="BD56" s="17"/>
      <c r="BE56" s="17"/>
      <c r="BF56" s="17"/>
    </row>
    <row r="57" spans="1:58" s="141" customFormat="1" ht="12.75" customHeight="1" x14ac:dyDescent="0.2">
      <c r="A57" s="17"/>
      <c r="B57" s="19"/>
      <c r="C57" s="17"/>
      <c r="D57" s="17"/>
      <c r="E57" s="17"/>
      <c r="F57" s="37"/>
      <c r="G57" s="37"/>
      <c r="H57" s="17"/>
      <c r="I57" s="17"/>
      <c r="J57" s="17"/>
      <c r="K57" s="17"/>
      <c r="L57" s="19"/>
      <c r="M57" s="19"/>
      <c r="N57" s="18"/>
      <c r="O57" s="18"/>
      <c r="P57" s="17"/>
      <c r="Q57" s="17"/>
      <c r="R57" s="17"/>
      <c r="S57" s="17"/>
      <c r="T57" s="17"/>
      <c r="U57" s="17"/>
      <c r="V57" s="17"/>
      <c r="W57" s="17"/>
      <c r="X57" s="17"/>
      <c r="Y57" s="17"/>
      <c r="AB57" s="448" t="s">
        <v>164</v>
      </c>
      <c r="AC57" s="449"/>
      <c r="AD57" s="450"/>
      <c r="AZ57" s="17"/>
      <c r="BA57" s="17"/>
      <c r="BB57" s="17"/>
      <c r="BC57" s="17"/>
      <c r="BD57" s="17"/>
      <c r="BE57" s="17"/>
      <c r="BF57" s="17"/>
    </row>
    <row r="58" spans="1:58" s="141" customFormat="1" ht="12.75" customHeight="1" x14ac:dyDescent="0.2">
      <c r="A58" s="17"/>
      <c r="B58" s="19"/>
      <c r="C58" s="17"/>
      <c r="D58" s="17"/>
      <c r="E58" s="17"/>
      <c r="F58" s="37"/>
      <c r="G58" s="37"/>
      <c r="H58" s="17"/>
      <c r="I58" s="17"/>
      <c r="J58" s="17"/>
      <c r="K58" s="17"/>
      <c r="L58" s="19"/>
      <c r="M58" s="19"/>
      <c r="N58" s="18"/>
      <c r="O58" s="18"/>
      <c r="P58" s="17"/>
      <c r="Q58" s="17"/>
      <c r="R58" s="17"/>
      <c r="S58" s="17"/>
      <c r="T58" s="17"/>
      <c r="U58" s="17"/>
      <c r="V58" s="17"/>
      <c r="W58" s="17"/>
      <c r="X58" s="17"/>
      <c r="AB58" s="451">
        <f>Configuration!$H$30</f>
        <v>0</v>
      </c>
      <c r="AC58" s="452"/>
      <c r="AD58" s="453"/>
      <c r="AZ58" s="17"/>
      <c r="BA58" s="17"/>
      <c r="BB58" s="17"/>
      <c r="BC58" s="17"/>
      <c r="BD58" s="17"/>
      <c r="BE58" s="17"/>
      <c r="BF58" s="17"/>
    </row>
    <row r="70" spans="48:49" ht="12.75" customHeight="1" x14ac:dyDescent="0.2">
      <c r="AV70" s="141" t="s">
        <v>270</v>
      </c>
      <c r="AW70" s="290">
        <f>IF(($R$40=AV70)*AND($R$41&lt;&gt;""),VLOOKUP($R$41,'Barèmes CALOG'!$B$4:$C$34,2),0)</f>
        <v>0</v>
      </c>
    </row>
    <row r="71" spans="48:49" ht="12.75" customHeight="1" x14ac:dyDescent="0.2">
      <c r="AV71" s="141" t="s">
        <v>271</v>
      </c>
      <c r="AW71" s="290">
        <f>IF(($R$40=AV71)*AND($R$41&lt;&gt;""),VLOOKUP($R$41,'Barèmes CALOG'!$E$4:$F$34,2),0)</f>
        <v>0</v>
      </c>
    </row>
    <row r="72" spans="48:49" ht="12.75" customHeight="1" x14ac:dyDescent="0.2">
      <c r="AV72" s="141" t="s">
        <v>272</v>
      </c>
      <c r="AW72" s="290">
        <f>IF(($R$40=AV72)*AND($R$41&lt;&gt;""),VLOOKUP($R$41,'Barèmes CALOG'!$H$4:$I$34,2),0)</f>
        <v>0</v>
      </c>
    </row>
    <row r="73" spans="48:49" ht="12.75" customHeight="1" x14ac:dyDescent="0.2">
      <c r="AV73" s="141" t="s">
        <v>273</v>
      </c>
      <c r="AW73" s="290">
        <f>IF(($R$40=AV73)*AND($R$41&lt;&gt;""),VLOOKUP($R$41,'Barèmes CALOG'!$K$4:$L$34,2),0)</f>
        <v>0</v>
      </c>
    </row>
    <row r="74" spans="48:49" ht="12.75" customHeight="1" x14ac:dyDescent="0.2">
      <c r="AV74" s="141" t="s">
        <v>274</v>
      </c>
      <c r="AW74" s="290">
        <f>IF(($R$40=AV74)*AND($R$41&lt;&gt;""),VLOOKUP($R$41,'Barèmes CALOG'!$N$4:$O$34,2),0)</f>
        <v>0</v>
      </c>
    </row>
    <row r="75" spans="48:49" ht="12.75" customHeight="1" x14ac:dyDescent="0.2">
      <c r="AV75" s="141" t="s">
        <v>275</v>
      </c>
      <c r="AW75" s="290">
        <f>IF(($R$40=AV75)*AND($R$41&lt;&gt;""),VLOOKUP($R$41,'Barèmes CALOG'!$Q$4:$R$34,2),0)</f>
        <v>0</v>
      </c>
    </row>
    <row r="76" spans="48:49" ht="12.75" customHeight="1" x14ac:dyDescent="0.2">
      <c r="AV76" s="141" t="s">
        <v>276</v>
      </c>
      <c r="AW76" s="290">
        <f>IF(($R$40=AV76)*AND($R$41&lt;&gt;""),VLOOKUP($R$41,'Barèmes CALOG'!$T$4:$U$34,2),0)</f>
        <v>0</v>
      </c>
    </row>
    <row r="77" spans="48:49" ht="12.75" customHeight="1" x14ac:dyDescent="0.2">
      <c r="AV77" s="141" t="s">
        <v>277</v>
      </c>
      <c r="AW77" s="290">
        <f>IF(($R$40=AV77)*AND($R$41&lt;&gt;""),VLOOKUP($R$41,'Barèmes CALOG'!$W$4:$X$34,2),0)</f>
        <v>0</v>
      </c>
    </row>
    <row r="78" spans="48:49" ht="12.75" customHeight="1" x14ac:dyDescent="0.2">
      <c r="AV78" s="141" t="s">
        <v>278</v>
      </c>
      <c r="AW78" s="290">
        <f>IF(($R$40=AV78)*AND($R$41&lt;&gt;""),VLOOKUP($R$41,'Barèmes CALOG'!$Z$4:$AA$34,2),0)</f>
        <v>0</v>
      </c>
    </row>
    <row r="79" spans="48:49" ht="12.75" customHeight="1" x14ac:dyDescent="0.2">
      <c r="AV79" s="141" t="s">
        <v>279</v>
      </c>
      <c r="AW79" s="290">
        <f>IF(($R$40=AV79)*AND($R$41&lt;&gt;""),VLOOKUP($R$41,'Barèmes CALOG'!$AC$4:$AD$34,2),0)</f>
        <v>0</v>
      </c>
    </row>
    <row r="80" spans="48:49" ht="12.75" customHeight="1" x14ac:dyDescent="0.2">
      <c r="AV80" s="141" t="s">
        <v>280</v>
      </c>
      <c r="AW80" s="290">
        <f>IF(($R$40=AV80)*AND($R$41&lt;&gt;""),VLOOKUP($R$41,'Barèmes CALOG'!$AF$4:$AG$34,2),0)</f>
        <v>0</v>
      </c>
    </row>
    <row r="81" spans="48:49" ht="12.75" customHeight="1" x14ac:dyDescent="0.2">
      <c r="AV81" s="141" t="s">
        <v>281</v>
      </c>
      <c r="AW81" s="290">
        <f>IF(($R$40=AV81)*AND($R$41&lt;&gt;""),VLOOKUP($R$41,'Barèmes CALOG'!$AI$4:$AJ$34,2),0)</f>
        <v>0</v>
      </c>
    </row>
    <row r="82" spans="48:49" ht="12.75" customHeight="1" x14ac:dyDescent="0.2">
      <c r="AV82" s="141" t="s">
        <v>282</v>
      </c>
      <c r="AW82" s="290">
        <f>IF(($R$40=AV82)*AND($R$41&lt;&gt;""),VLOOKUP($R$41,'Barèmes CALOG'!$AL$4:$AM$34,2),0)</f>
        <v>0</v>
      </c>
    </row>
    <row r="83" spans="48:49" ht="12.75" customHeight="1" x14ac:dyDescent="0.2">
      <c r="AV83" s="141" t="s">
        <v>283</v>
      </c>
      <c r="AW83" s="290">
        <f>IF(($R$40=AV83)*AND($R$41&lt;&gt;""),VLOOKUP($R$41,'Barèmes CALOG'!$AO$4:$AP$34,2),0)</f>
        <v>0</v>
      </c>
    </row>
    <row r="84" spans="48:49" ht="12.75" customHeight="1" x14ac:dyDescent="0.2">
      <c r="AV84" s="141" t="s">
        <v>284</v>
      </c>
      <c r="AW84" s="290">
        <f>IF(($R$40=AV84)*AND($R$41&lt;&gt;""),VLOOKUP($R$41,'Barèmes CALOG'!$AR$4:$AS$34,2),0)</f>
        <v>0</v>
      </c>
    </row>
    <row r="85" spans="48:49" ht="12.75" customHeight="1" x14ac:dyDescent="0.2">
      <c r="AV85" s="141" t="s">
        <v>285</v>
      </c>
      <c r="AW85" s="290">
        <f>IF(($R$40=AV85)*AND($R$41&lt;&gt;""),VLOOKUP($R$41,'Barèmes CALOG'!$AU$4:$AV$34,2),0)</f>
        <v>0</v>
      </c>
    </row>
    <row r="86" spans="48:49" ht="12.75" customHeight="1" x14ac:dyDescent="0.2">
      <c r="AV86" s="141" t="s">
        <v>286</v>
      </c>
      <c r="AW86" s="290">
        <f>IF(($R$40=AV86)*AND($R$41&lt;&gt;""),VLOOKUP($R$41,'Barèmes CALOG'!$AX$4:$AY$34,2),0)</f>
        <v>0</v>
      </c>
    </row>
    <row r="87" spans="48:49" ht="12.75" customHeight="1" x14ac:dyDescent="0.2">
      <c r="AV87" s="141" t="s">
        <v>287</v>
      </c>
      <c r="AW87" s="290">
        <f>IF(($R$40=AV87)*AND($R$41&lt;&gt;""),VLOOKUP($R$41,'Barèmes CALOG'!$BA$4:$BB$34,2),0)</f>
        <v>0</v>
      </c>
    </row>
    <row r="88" spans="48:49" ht="12.75" customHeight="1" x14ac:dyDescent="0.2">
      <c r="AV88" s="141" t="s">
        <v>288</v>
      </c>
      <c r="AW88" s="290">
        <f>IF(($R$40=AV88)*AND($R$41&lt;&gt;""),VLOOKUP($R$41,'Barèmes CALOG'!$BD$4:$BE$34,2),0)</f>
        <v>0</v>
      </c>
    </row>
    <row r="89" spans="48:49" ht="12.75" customHeight="1" x14ac:dyDescent="0.2">
      <c r="AV89" s="141" t="s">
        <v>289</v>
      </c>
      <c r="AW89" s="290">
        <f>IF(($R$40=AV89)*AND($R$41&lt;&gt;""),VLOOKUP($R$41,'Barèmes CALOG'!$BG$4:$BH$34,2),0)</f>
        <v>0</v>
      </c>
    </row>
    <row r="90" spans="48:49" ht="12.75" customHeight="1" x14ac:dyDescent="0.2">
      <c r="AV90" s="141" t="s">
        <v>290</v>
      </c>
      <c r="AW90" s="290">
        <f>IF(($R$40=AV90)*AND($R$41&lt;&gt;""),VLOOKUP($R$41,'Barèmes CALOG'!$BJ$4:$BK$34,2),0)</f>
        <v>0</v>
      </c>
    </row>
    <row r="91" spans="48:49" ht="12.75" customHeight="1" x14ac:dyDescent="0.2">
      <c r="AV91" s="141" t="s">
        <v>291</v>
      </c>
      <c r="AW91" s="290">
        <f>IF(($R$40=AV91)*AND($R$41&lt;&gt;""),VLOOKUP($R$41,'Barèmes CALOG'!$BM$4:$BN$34,2),0)</f>
        <v>0</v>
      </c>
    </row>
    <row r="92" spans="48:49" ht="12.75" customHeight="1" x14ac:dyDescent="0.2">
      <c r="AV92" s="141" t="s">
        <v>292</v>
      </c>
      <c r="AW92" s="290">
        <f>IF(($R$40=AV92)*AND($R$41&lt;&gt;""),VLOOKUP($R$41,'Barèmes CALOG'!$BP$4:$BQ$34,2),0)</f>
        <v>0</v>
      </c>
    </row>
    <row r="93" spans="48:49" ht="12.75" customHeight="1" x14ac:dyDescent="0.2">
      <c r="AV93" s="141" t="s">
        <v>293</v>
      </c>
      <c r="AW93" s="290">
        <f>IF(($R$40=AV93)*AND($R$41&lt;&gt;""),VLOOKUP($R$41,'Barèmes CALOG'!$BS$4:$BT$34,2),0)</f>
        <v>0</v>
      </c>
    </row>
    <row r="94" spans="48:49" ht="12.75" customHeight="1" x14ac:dyDescent="0.2">
      <c r="AV94" s="141" t="s">
        <v>294</v>
      </c>
      <c r="AW94" s="290">
        <f>IF(($R$40=AV94)*AND($R$41&lt;&gt;""),VLOOKUP($R$41,'Barèmes CALOG'!$BV$4:$BW$34,2),0)</f>
        <v>0</v>
      </c>
    </row>
    <row r="95" spans="48:49" ht="12.75" customHeight="1" x14ac:dyDescent="0.2">
      <c r="AV95" s="141" t="s">
        <v>295</v>
      </c>
      <c r="AW95" s="290">
        <f>IF(($R$40=AV95)*AND($R$41&lt;&gt;""),VLOOKUP($R$41,'Barèmes CALOG'!$BY$4:$BZ$34,2),0)</f>
        <v>0</v>
      </c>
    </row>
    <row r="96" spans="48:49" ht="12.75" customHeight="1" x14ac:dyDescent="0.2">
      <c r="AV96" s="141" t="s">
        <v>296</v>
      </c>
      <c r="AW96" s="290">
        <f>IF(($R$40=AV96)*AND($R$41&lt;&gt;""),VLOOKUP($R$41,'Barèmes CALOG'!$CB$4:$CC$34,2),0)</f>
        <v>0</v>
      </c>
    </row>
    <row r="97" spans="48:49" ht="12.75" customHeight="1" x14ac:dyDescent="0.2">
      <c r="AV97" s="141" t="s">
        <v>297</v>
      </c>
      <c r="AW97" s="290">
        <f>IF(($R$40=AV97)*AND($R$41&lt;&gt;""),VLOOKUP($R$41,'Barèmes CALOG'!$CE$4:$CF$34,2),0)</f>
        <v>0</v>
      </c>
    </row>
    <row r="98" spans="48:49" ht="12.75" customHeight="1" x14ac:dyDescent="0.2">
      <c r="AV98" s="141" t="s">
        <v>298</v>
      </c>
      <c r="AW98" s="290">
        <f>IF(($R$40=AV98)*AND($R$41&lt;&gt;""),VLOOKUP($R$41,'Barèmes CALOG'!$CH$4:$CI$34,2),0)</f>
        <v>0</v>
      </c>
    </row>
    <row r="99" spans="48:49" ht="12.75" customHeight="1" x14ac:dyDescent="0.2">
      <c r="AV99" s="141" t="s">
        <v>299</v>
      </c>
      <c r="AW99" s="290">
        <f>IF(($R$40=AV99)*AND($R$41&lt;&gt;""),VLOOKUP($R$41,'Barèmes CALOG'!$CK$4:$CL$34,2),0)</f>
        <v>0</v>
      </c>
    </row>
    <row r="100" spans="48:49" ht="12.75" customHeight="1" x14ac:dyDescent="0.2">
      <c r="AV100" s="141" t="s">
        <v>300</v>
      </c>
      <c r="AW100" s="290">
        <f>IF(($R$40=AV100)*AND($R$41&lt;&gt;""),VLOOKUP($R$41,'Barèmes CALOG'!$CN$4:$CO$34,2),0)</f>
        <v>0</v>
      </c>
    </row>
    <row r="101" spans="48:49" ht="12.75" customHeight="1" x14ac:dyDescent="0.2">
      <c r="AV101" s="141" t="s">
        <v>301</v>
      </c>
      <c r="AW101" s="290">
        <f>IF(($R$40=AV101)*AND($R$41&lt;&gt;""),VLOOKUP($R$41,'Barèmes CALOG'!$CQ$4:$CR$34,2),0)</f>
        <v>0</v>
      </c>
    </row>
    <row r="102" spans="48:49" ht="12.75" customHeight="1" x14ac:dyDescent="0.2">
      <c r="AV102" s="141" t="s">
        <v>302</v>
      </c>
      <c r="AW102" s="290">
        <f>IF(($R$40=AV102)*AND($R$41&lt;&gt;""),VLOOKUP($R$41,'Barèmes CALOG'!$CT$4:$CU$34,2),0)</f>
        <v>0</v>
      </c>
    </row>
    <row r="103" spans="48:49" ht="12.75" customHeight="1" x14ac:dyDescent="0.2">
      <c r="AV103" s="141" t="s">
        <v>303</v>
      </c>
      <c r="AW103" s="290">
        <f>IF(($R$40=AV103)*AND($R$41&lt;&gt;""),VLOOKUP($R$41,'Barèmes CALOG'!$CW$4:$CX$34,2),0)</f>
        <v>0</v>
      </c>
    </row>
    <row r="104" spans="48:49" ht="12.75" customHeight="1" x14ac:dyDescent="0.2">
      <c r="AV104" s="141" t="s">
        <v>304</v>
      </c>
      <c r="AW104" s="290">
        <f>IF(($R$40=AV104)*AND($R$41&lt;&gt;""),VLOOKUP($R$41,'Barèmes CALOG'!$B$40:$C$70,2),0)</f>
        <v>0</v>
      </c>
    </row>
    <row r="105" spans="48:49" ht="12.75" customHeight="1" x14ac:dyDescent="0.2">
      <c r="AV105" s="141" t="s">
        <v>305</v>
      </c>
      <c r="AW105" s="290">
        <f>IF(($R$40=AV105)*AND($R$41&lt;&gt;""),VLOOKUP($R$41,'Barèmes CALOG'!$E$40:$F$70,2),0)</f>
        <v>0</v>
      </c>
    </row>
    <row r="106" spans="48:49" ht="12.75" customHeight="1" x14ac:dyDescent="0.2">
      <c r="AV106" s="141" t="s">
        <v>306</v>
      </c>
      <c r="AW106" s="290">
        <f>IF(($R$40=AV106)*AND($R$41&lt;&gt;""),VLOOKUP($R$41,'Barèmes CALOG'!$H$40:$I$70,2),0)</f>
        <v>0</v>
      </c>
    </row>
    <row r="107" spans="48:49" ht="12.75" customHeight="1" x14ac:dyDescent="0.2">
      <c r="AV107" s="141" t="s">
        <v>307</v>
      </c>
      <c r="AW107" s="290">
        <f>IF(($R$40=AV107)*AND($R$41&lt;&gt;""),VLOOKUP($R$41,'Barèmes CALOG'!$K$40:$L$70,2),0)</f>
        <v>0</v>
      </c>
    </row>
    <row r="108" spans="48:49" ht="12.75" customHeight="1" x14ac:dyDescent="0.2">
      <c r="AV108" s="141" t="s">
        <v>308</v>
      </c>
      <c r="AW108" s="290">
        <f>IF(($R$40=AV108)*AND($R$41&lt;&gt;""),VLOOKUP($R$41,'Barèmes CALOG'!$N$40:$O$70,2),0)</f>
        <v>0</v>
      </c>
    </row>
    <row r="109" spans="48:49" ht="12.75" customHeight="1" x14ac:dyDescent="0.2">
      <c r="AV109" s="141" t="s">
        <v>309</v>
      </c>
      <c r="AW109" s="290">
        <f>IF(($R$40=AV109)*AND($R$41&lt;&gt;""),VLOOKUP($R$41,'Barèmes CALOG'!$Q$40:$R$70,2),0)</f>
        <v>0</v>
      </c>
    </row>
    <row r="110" spans="48:49" ht="12.75" customHeight="1" x14ac:dyDescent="0.2">
      <c r="AV110" s="141" t="s">
        <v>310</v>
      </c>
      <c r="AW110" s="290">
        <f>IF(($R$40=AV110)*AND($R$41&lt;&gt;""),VLOOKUP($R$41,'Barèmes CALOG'!$T$40:$U$70,2),0)</f>
        <v>0</v>
      </c>
    </row>
    <row r="111" spans="48:49" ht="12.75" customHeight="1" x14ac:dyDescent="0.2">
      <c r="AV111" s="141" t="s">
        <v>311</v>
      </c>
      <c r="AW111" s="290">
        <f>IF(($R$40=AV111)*AND($R$41&lt;&gt;""),VLOOKUP($R$41,'Barèmes CALOG'!$W$40:$X$70,2),0)</f>
        <v>0</v>
      </c>
    </row>
    <row r="112" spans="48:49" ht="12.75" customHeight="1" x14ac:dyDescent="0.2">
      <c r="AV112" s="141" t="s">
        <v>312</v>
      </c>
      <c r="AW112" s="290">
        <f>IF(($R$40=AV112)*AND($R$41&lt;&gt;""),VLOOKUP($R$41,'Barèmes CALOG'!$Z$40:$AA$70,2),0)</f>
        <v>0</v>
      </c>
    </row>
    <row r="113" spans="48:49" ht="12.75" customHeight="1" x14ac:dyDescent="0.2">
      <c r="AV113" s="141" t="s">
        <v>313</v>
      </c>
      <c r="AW113" s="290">
        <f>IF(($R$40=AV113)*AND($R$41&lt;&gt;""),VLOOKUP($R$41,'Barèmes CALOG'!$AC$40:$AD$70,2),0)</f>
        <v>0</v>
      </c>
    </row>
    <row r="114" spans="48:49" ht="12.75" customHeight="1" x14ac:dyDescent="0.2">
      <c r="AV114" s="141" t="s">
        <v>314</v>
      </c>
      <c r="AW114" s="290">
        <f>IF(($R$40=AV114)*AND($R$41&lt;&gt;""),VLOOKUP($R$41,'Barèmes CALOG'!$AF$40:$AG$70,2),0)</f>
        <v>0</v>
      </c>
    </row>
    <row r="115" spans="48:49" ht="12.75" customHeight="1" x14ac:dyDescent="0.2">
      <c r="AV115" s="141" t="s">
        <v>315</v>
      </c>
      <c r="AW115" s="290">
        <f>IF(($R$40=AV115)*AND($R$41&lt;&gt;""),VLOOKUP($R$41,'Barèmes CALOG'!$AI$40:$AJ$70,2),0)</f>
        <v>0</v>
      </c>
    </row>
    <row r="116" spans="48:49" ht="12.75" customHeight="1" x14ac:dyDescent="0.2">
      <c r="AV116" s="141" t="s">
        <v>316</v>
      </c>
      <c r="AW116" s="290">
        <f>IF(($R$40=AV116)*AND($R$41&lt;&gt;""),VLOOKUP($R$41,'Barèmes CALOG'!$AL$40:$AM$70,2),0)</f>
        <v>0</v>
      </c>
    </row>
    <row r="117" spans="48:49" ht="12.75" customHeight="1" x14ac:dyDescent="0.2">
      <c r="AV117" s="141" t="s">
        <v>317</v>
      </c>
      <c r="AW117" s="290">
        <f>IF(($R$40=AV117)*AND($R$41&lt;&gt;""),VLOOKUP($R$41,'Barèmes CALOG'!$AO$40:$AP$70,2),0)</f>
        <v>0</v>
      </c>
    </row>
    <row r="118" spans="48:49" ht="12.75" customHeight="1" x14ac:dyDescent="0.2">
      <c r="AV118" s="141" t="s">
        <v>318</v>
      </c>
      <c r="AW118" s="290">
        <f>IF(($R$40=AV118)*AND($R$41&lt;&gt;""),VLOOKUP($R$41,'Barèmes CALOG'!$AR$40:$AS$70,2),0)</f>
        <v>0</v>
      </c>
    </row>
    <row r="119" spans="48:49" ht="12.75" customHeight="1" x14ac:dyDescent="0.2">
      <c r="AV119" s="141" t="s">
        <v>319</v>
      </c>
      <c r="AW119" s="290">
        <f>IF(($R$40=AV119)*AND($R$41&lt;&gt;""),VLOOKUP($R$41,'Barèmes CALOG'!$AU$40:$AV$70,2),0)</f>
        <v>0</v>
      </c>
    </row>
    <row r="120" spans="48:49" ht="12.75" customHeight="1" x14ac:dyDescent="0.2">
      <c r="AV120" s="141" t="s">
        <v>320</v>
      </c>
      <c r="AW120" s="290">
        <f>IF(($R$40=AV120)*AND($R$41&lt;&gt;""),VLOOKUP($R$41,'Barèmes CALOG'!$AX$40:$AY$70,2),0)</f>
        <v>0</v>
      </c>
    </row>
    <row r="121" spans="48:49" ht="12.75" customHeight="1" x14ac:dyDescent="0.2">
      <c r="AV121" s="141" t="s">
        <v>321</v>
      </c>
      <c r="AW121" s="290">
        <f>IF(($R$40=AV121)*AND($R$41&lt;&gt;""),VLOOKUP($R$41,'Barèmes CALOG'!$BA$40:$BB$70,2),0)</f>
        <v>0</v>
      </c>
    </row>
    <row r="122" spans="48:49" ht="12.75" customHeight="1" x14ac:dyDescent="0.2">
      <c r="AV122" s="141" t="s">
        <v>322</v>
      </c>
      <c r="AW122" s="290">
        <f>IF(($R$40=AV122)*AND($R$41&lt;&gt;""),VLOOKUP($R$41,'Barèmes CALOG'!$BD$40:$BE$70,2),0)</f>
        <v>0</v>
      </c>
    </row>
    <row r="123" spans="48:49" ht="12.75" customHeight="1" x14ac:dyDescent="0.2">
      <c r="AV123" s="141" t="s">
        <v>323</v>
      </c>
      <c r="AW123" s="290">
        <f>IF(($R$40=AV123)*AND($R$41&lt;&gt;""),VLOOKUP($R$41,'Barèmes CALOG'!$BG$40:$BH$70,2),0)</f>
        <v>0</v>
      </c>
    </row>
    <row r="124" spans="48:49" ht="12.75" customHeight="1" x14ac:dyDescent="0.2">
      <c r="AV124" s="141" t="s">
        <v>324</v>
      </c>
      <c r="AW124" s="290">
        <f>IF(($R$40=AV124)*AND($R$41&lt;&gt;""),VLOOKUP($R$41,'Barèmes CALOG'!$BJ$40:$BK$70,2),0)</f>
        <v>0</v>
      </c>
    </row>
    <row r="125" spans="48:49" ht="12.75" customHeight="1" x14ac:dyDescent="0.2">
      <c r="AV125" s="141" t="s">
        <v>325</v>
      </c>
      <c r="AW125" s="290">
        <f>IF(($R$40=AV125)*AND($R$41&lt;&gt;""),VLOOKUP($R$41,'Barèmes CALOG'!$BM$40:$BN$70,2),0)</f>
        <v>0</v>
      </c>
    </row>
    <row r="126" spans="48:49" ht="12.75" customHeight="1" x14ac:dyDescent="0.2">
      <c r="AV126" s="141" t="s">
        <v>326</v>
      </c>
      <c r="AW126" s="290">
        <f>IF(($R$40=AV126)*AND($R$41&lt;&gt;""),VLOOKUP($R$41,'Barèmes CALOG'!$BP$40:$BQ$70,2),0)</f>
        <v>0</v>
      </c>
    </row>
    <row r="127" spans="48:49" ht="12.75" customHeight="1" x14ac:dyDescent="0.2">
      <c r="AV127" s="141" t="s">
        <v>327</v>
      </c>
      <c r="AW127" s="290">
        <f>IF(($R$40=AV127)*AND($R$41&lt;&gt;""),VLOOKUP($R$41,'Barèmes CALOG'!$BS$40:$BT$70,2),0)</f>
        <v>0</v>
      </c>
    </row>
    <row r="128" spans="48:49" ht="12.75" customHeight="1" x14ac:dyDescent="0.2">
      <c r="AV128" s="141" t="s">
        <v>328</v>
      </c>
      <c r="AW128" s="290">
        <f>IF(($R$40=AV128)*AND($R$41&lt;&gt;""),VLOOKUP($R$41,'Barèmes CALOG'!$BV$40:$BW$70,2),0)</f>
        <v>0</v>
      </c>
    </row>
    <row r="129" spans="48:49" ht="12.75" customHeight="1" x14ac:dyDescent="0.2">
      <c r="AV129" s="141" t="s">
        <v>329</v>
      </c>
      <c r="AW129" s="290">
        <f>IF(($R$40=AV129)*AND($R$41&lt;&gt;""),VLOOKUP($R$41,'Barèmes CALOG'!$BY$40:$BZ$70,2),0)</f>
        <v>0</v>
      </c>
    </row>
    <row r="130" spans="48:49" ht="12.75" customHeight="1" x14ac:dyDescent="0.2">
      <c r="AV130" s="141" t="s">
        <v>330</v>
      </c>
      <c r="AW130" s="290">
        <f>IF(($R$40=AV130)*AND($R$41&lt;&gt;""),VLOOKUP($R$41,'Barèmes CALOG'!$CB$40:$CC$70,2),0)</f>
        <v>0</v>
      </c>
    </row>
    <row r="131" spans="48:49" ht="12.75" customHeight="1" x14ac:dyDescent="0.2">
      <c r="AV131" s="141" t="s">
        <v>331</v>
      </c>
      <c r="AW131" s="290">
        <f>IF(($R$40=AV131)*AND($R$41&lt;&gt;""),VLOOKUP($R$41,'Barèmes CALOG'!$CE$40:$CF$70,2),0)</f>
        <v>0</v>
      </c>
    </row>
  </sheetData>
  <sheetProtection password="EC91" sheet="1" objects="1" scenarios="1" selectLockedCells="1"/>
  <mergeCells count="124">
    <mergeCell ref="AB57:AD57"/>
    <mergeCell ref="B52:E52"/>
    <mergeCell ref="F52:G52"/>
    <mergeCell ref="S52:U52"/>
    <mergeCell ref="AB52:AD52"/>
    <mergeCell ref="AB58:AD58"/>
    <mergeCell ref="AG53:AJ53"/>
    <mergeCell ref="S54:U54"/>
    <mergeCell ref="AB54:AD54"/>
    <mergeCell ref="AG54:AJ54"/>
    <mergeCell ref="S55:U55"/>
    <mergeCell ref="S56:U56"/>
    <mergeCell ref="S53:U53"/>
    <mergeCell ref="AB53:AD53"/>
    <mergeCell ref="S51:U51"/>
    <mergeCell ref="AB51:AD51"/>
    <mergeCell ref="AG51:AJ51"/>
    <mergeCell ref="B49:G49"/>
    <mergeCell ref="O49:Q49"/>
    <mergeCell ref="S49:U49"/>
    <mergeCell ref="B50:E50"/>
    <mergeCell ref="S50:U50"/>
    <mergeCell ref="AG50:AJ50"/>
    <mergeCell ref="O50:R50"/>
    <mergeCell ref="B51:E51"/>
    <mergeCell ref="F51:G51"/>
    <mergeCell ref="O51:R51"/>
    <mergeCell ref="O48:Q48"/>
    <mergeCell ref="S48:U48"/>
    <mergeCell ref="AB48:AD48"/>
    <mergeCell ref="AG48:AJ48"/>
    <mergeCell ref="O46:Q46"/>
    <mergeCell ref="S46:U46"/>
    <mergeCell ref="AB47:AD47"/>
    <mergeCell ref="Z47:AA47"/>
    <mergeCell ref="Z48:AA48"/>
    <mergeCell ref="B47:E47"/>
    <mergeCell ref="F47:G47"/>
    <mergeCell ref="O47:Q47"/>
    <mergeCell ref="S47:U47"/>
    <mergeCell ref="AM44:AP44"/>
    <mergeCell ref="AQ44:AR44"/>
    <mergeCell ref="B45:D45"/>
    <mergeCell ref="E45:F45"/>
    <mergeCell ref="G45:H45"/>
    <mergeCell ref="Z45:AA45"/>
    <mergeCell ref="AG47:AJ47"/>
    <mergeCell ref="AB45:AD45"/>
    <mergeCell ref="AG45:AJ45"/>
    <mergeCell ref="AM45:AP45"/>
    <mergeCell ref="AQ45:AR45"/>
    <mergeCell ref="B44:D44"/>
    <mergeCell ref="E44:F44"/>
    <mergeCell ref="G44:H44"/>
    <mergeCell ref="S44:U44"/>
    <mergeCell ref="AB44:AD44"/>
    <mergeCell ref="AG44:AJ44"/>
    <mergeCell ref="B43:D43"/>
    <mergeCell ref="E43:F43"/>
    <mergeCell ref="G43:H43"/>
    <mergeCell ref="S43:U43"/>
    <mergeCell ref="Z43:AA44"/>
    <mergeCell ref="AB43:AD43"/>
    <mergeCell ref="AG43:AJ43"/>
    <mergeCell ref="AM43:AP43"/>
    <mergeCell ref="AQ43:AR43"/>
    <mergeCell ref="B42:D42"/>
    <mergeCell ref="E42:F42"/>
    <mergeCell ref="G42:H42"/>
    <mergeCell ref="S42:U42"/>
    <mergeCell ref="J40:N40"/>
    <mergeCell ref="R40:S40"/>
    <mergeCell ref="AB42:AD42"/>
    <mergeCell ref="AG42:AJ42"/>
    <mergeCell ref="AM42:AQ42"/>
    <mergeCell ref="B41:D41"/>
    <mergeCell ref="E41:F41"/>
    <mergeCell ref="G41:H41"/>
    <mergeCell ref="R41:S41"/>
    <mergeCell ref="T41:V41"/>
    <mergeCell ref="Z41:AA41"/>
    <mergeCell ref="B40:D40"/>
    <mergeCell ref="E40:F40"/>
    <mergeCell ref="G40:H40"/>
    <mergeCell ref="T40:V40"/>
    <mergeCell ref="O7:P7"/>
    <mergeCell ref="AV4:AV7"/>
    <mergeCell ref="AW4:AW7"/>
    <mergeCell ref="AH5:AJ5"/>
    <mergeCell ref="AK5:AN5"/>
    <mergeCell ref="W39:X39"/>
    <mergeCell ref="AF4:AF7"/>
    <mergeCell ref="AS4:AS7"/>
    <mergeCell ref="AO4:AR4"/>
    <mergeCell ref="AT4:AT7"/>
    <mergeCell ref="AU4:AU7"/>
    <mergeCell ref="AG4:AG7"/>
    <mergeCell ref="AE4:AE7"/>
    <mergeCell ref="Z40:AA40"/>
    <mergeCell ref="Z6:Z7"/>
    <mergeCell ref="X6:X7"/>
    <mergeCell ref="AB4:AB7"/>
    <mergeCell ref="AC4:AC7"/>
    <mergeCell ref="AD4:AD7"/>
    <mergeCell ref="J6:K6"/>
    <mergeCell ref="L6:N6"/>
    <mergeCell ref="O6:P6"/>
    <mergeCell ref="Q6:T6"/>
    <mergeCell ref="B6:B7"/>
    <mergeCell ref="C6:C7"/>
    <mergeCell ref="D6:D7"/>
    <mergeCell ref="E6:E7"/>
    <mergeCell ref="F6:G6"/>
    <mergeCell ref="H6:I6"/>
    <mergeCell ref="D2:G2"/>
    <mergeCell ref="I2:L2"/>
    <mergeCell ref="N2:Q2"/>
    <mergeCell ref="R2:S2"/>
    <mergeCell ref="D3:G3"/>
    <mergeCell ref="J3:L3"/>
    <mergeCell ref="N3:Q3"/>
    <mergeCell ref="R3:S3"/>
    <mergeCell ref="D4:G4"/>
    <mergeCell ref="J4:L4"/>
  </mergeCells>
  <conditionalFormatting sqref="B8:AA37">
    <cfRule type="expression" dxfId="7" priority="2" stopIfTrue="1">
      <formula>OR($B8="Sa",$B8="Di",$D8="Jour férié semaine",$D8="Jour de pont")</formula>
    </cfRule>
  </conditionalFormatting>
  <conditionalFormatting sqref="Y8:AA37">
    <cfRule type="expression" dxfId="6" priority="1" stopIfTrue="1">
      <formula>OR($B8="Za",$B8="Zo",$D8="Feestdag week",$D8="Brugdag")</formula>
    </cfRule>
  </conditionalFormatting>
  <dataValidations count="3">
    <dataValidation type="list" allowBlank="1" showInputMessage="1" showErrorMessage="1" sqref="E8:E37" xr:uid="{00000000-0002-0000-0B00-000000000000}">
      <formula1>"M,E,ME"</formula1>
    </dataValidation>
    <dataValidation type="list" allowBlank="1" showInputMessage="1" showErrorMessage="1" sqref="D8:D37" xr:uid="{00000000-0002-0000-0B00-000001000000}">
      <formula1>$AX$8:$AX$29</formula1>
    </dataValidation>
    <dataValidation type="list" allowBlank="1" showInputMessage="1" showErrorMessage="1" sqref="R2:R3 F47" xr:uid="{00000000-0002-0000-0B00-000002000000}">
      <formula1>"Oui,Non"</formula1>
    </dataValidation>
  </dataValidations>
  <pageMargins left="0.7" right="0.7" top="0.75" bottom="0.75" header="0.3" footer="0.3"/>
  <pageSetup paperSize="9" scale="69" fitToWidth="0" orientation="landscape"/>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1:BF131"/>
  <sheetViews>
    <sheetView workbookViewId="0">
      <selection activeCell="D8" sqref="D8"/>
    </sheetView>
  </sheetViews>
  <sheetFormatPr defaultRowHeight="12.75" customHeight="1" x14ac:dyDescent="0.2"/>
  <cols>
    <col min="1" max="1" width="1.42578125" style="17" customWidth="1"/>
    <col min="2" max="2" width="4" style="19" customWidth="1"/>
    <col min="3" max="3" width="6.85546875" style="17" customWidth="1"/>
    <col min="4" max="4" width="17.7109375" style="17" customWidth="1"/>
    <col min="5" max="5" width="4.42578125" style="17" customWidth="1"/>
    <col min="6" max="7" width="5.140625" style="37" customWidth="1"/>
    <col min="8" max="11" width="5.140625" style="17" customWidth="1"/>
    <col min="12" max="12" width="5.7109375" style="19" customWidth="1"/>
    <col min="13" max="13" width="6.28515625" style="19" customWidth="1"/>
    <col min="14" max="14" width="6.140625" style="18" customWidth="1"/>
    <col min="15" max="15" width="2.42578125" style="18" customWidth="1"/>
    <col min="16" max="16" width="6.42578125" style="17" customWidth="1"/>
    <col min="17" max="20" width="2.85546875" style="17" customWidth="1"/>
    <col min="21" max="21" width="5.7109375" style="17" customWidth="1"/>
    <col min="22" max="23" width="7.42578125" style="17" customWidth="1"/>
    <col min="24" max="24" width="7.7109375" style="17" customWidth="1"/>
    <col min="25" max="25" width="5.28515625" style="141" customWidth="1"/>
    <col min="26" max="26" width="6.42578125" style="141" customWidth="1"/>
    <col min="27" max="27" width="7.7109375" style="141" customWidth="1"/>
    <col min="28" max="28" width="7.85546875" style="141" hidden="1" customWidth="1"/>
    <col min="29" max="32" width="12.42578125" style="141" hidden="1" customWidth="1"/>
    <col min="33" max="33" width="8" style="141" hidden="1" customWidth="1"/>
    <col min="34" max="34" width="9.140625" style="141" hidden="1" customWidth="1"/>
    <col min="35" max="45" width="7.7109375" style="141" hidden="1" customWidth="1"/>
    <col min="46" max="48" width="12.140625" style="141" hidden="1" customWidth="1"/>
    <col min="49" max="51" width="9.85546875" style="141" hidden="1" customWidth="1"/>
    <col min="52" max="256" width="11.42578125" style="17" customWidth="1"/>
    <col min="257" max="16384" width="9.140625" style="17"/>
  </cols>
  <sheetData>
    <row r="1" spans="1:58" ht="5.25" customHeight="1" x14ac:dyDescent="0.2"/>
    <row r="2" spans="1:58" ht="12.75" customHeight="1" x14ac:dyDescent="0.2">
      <c r="D2" s="455" t="str">
        <f>CONCATENATE("Utilisateur: ",Configuration!H17)</f>
        <v xml:space="preserve">Utilisateur: </v>
      </c>
      <c r="E2" s="455"/>
      <c r="F2" s="455"/>
      <c r="G2" s="455"/>
      <c r="I2" s="456" t="s">
        <v>174</v>
      </c>
      <c r="J2" s="438"/>
      <c r="K2" s="438"/>
      <c r="L2" s="438"/>
      <c r="M2" s="18"/>
      <c r="N2" s="456" t="s">
        <v>177</v>
      </c>
      <c r="O2" s="438"/>
      <c r="P2" s="438"/>
      <c r="Q2" s="438"/>
      <c r="R2" s="439" t="s">
        <v>179</v>
      </c>
      <c r="S2" s="439"/>
      <c r="T2" s="20"/>
    </row>
    <row r="3" spans="1:58" ht="12.75" customHeight="1" x14ac:dyDescent="0.2">
      <c r="D3" s="440" t="str">
        <f>Configuration!G8</f>
        <v>OTT Tool 2024</v>
      </c>
      <c r="E3" s="440"/>
      <c r="F3" s="440"/>
      <c r="G3" s="440"/>
      <c r="I3" s="26"/>
      <c r="J3" s="438" t="s">
        <v>175</v>
      </c>
      <c r="K3" s="438"/>
      <c r="L3" s="438"/>
      <c r="M3" s="45">
        <f>IF(Sep!$F$47="Oui",Sep!F51,0)</f>
        <v>0</v>
      </c>
      <c r="N3" s="456" t="s">
        <v>178</v>
      </c>
      <c r="O3" s="438"/>
      <c r="P3" s="438"/>
      <c r="Q3" s="438"/>
      <c r="R3" s="439" t="s">
        <v>180</v>
      </c>
      <c r="S3" s="439"/>
      <c r="T3" s="20"/>
    </row>
    <row r="4" spans="1:58" ht="12.75" customHeight="1" x14ac:dyDescent="0.2">
      <c r="D4" s="440" t="s">
        <v>173</v>
      </c>
      <c r="E4" s="440"/>
      <c r="F4" s="440"/>
      <c r="G4" s="440"/>
      <c r="I4" s="20"/>
      <c r="J4" s="438" t="s">
        <v>176</v>
      </c>
      <c r="K4" s="438"/>
      <c r="L4" s="438"/>
      <c r="M4" s="45">
        <f>IF(Sep!$F$47="Oui",Sep!F52,Sep!M4)</f>
        <v>0</v>
      </c>
      <c r="N4" s="21"/>
      <c r="O4" s="19"/>
      <c r="Q4" s="18"/>
      <c r="T4" s="20"/>
      <c r="AB4" s="443" t="s">
        <v>259</v>
      </c>
      <c r="AC4" s="432" t="s">
        <v>160</v>
      </c>
      <c r="AD4" s="432" t="s">
        <v>255</v>
      </c>
      <c r="AE4" s="432" t="s">
        <v>166</v>
      </c>
      <c r="AF4" s="454" t="s">
        <v>168</v>
      </c>
      <c r="AG4" s="429" t="s">
        <v>45</v>
      </c>
      <c r="AJ4" s="121"/>
      <c r="AO4" s="426" t="s">
        <v>48</v>
      </c>
      <c r="AP4" s="427"/>
      <c r="AQ4" s="427"/>
      <c r="AR4" s="428"/>
      <c r="AS4" s="430" t="s">
        <v>52</v>
      </c>
      <c r="AT4" s="431" t="s">
        <v>53</v>
      </c>
      <c r="AU4" s="431" t="s">
        <v>60</v>
      </c>
      <c r="AV4" s="418" t="s">
        <v>62</v>
      </c>
      <c r="AW4" s="432" t="s">
        <v>63</v>
      </c>
    </row>
    <row r="5" spans="1:58" ht="12.75" customHeight="1" x14ac:dyDescent="0.2">
      <c r="B5" s="35"/>
      <c r="AB5" s="443"/>
      <c r="AC5" s="432"/>
      <c r="AD5" s="432"/>
      <c r="AE5" s="432"/>
      <c r="AF5" s="454"/>
      <c r="AG5" s="429"/>
      <c r="AH5" s="426" t="s">
        <v>47</v>
      </c>
      <c r="AI5" s="427"/>
      <c r="AJ5" s="428"/>
      <c r="AK5" s="426" t="s">
        <v>46</v>
      </c>
      <c r="AL5" s="427"/>
      <c r="AM5" s="427"/>
      <c r="AN5" s="428"/>
      <c r="AO5" s="105" t="s">
        <v>49</v>
      </c>
      <c r="AP5" s="94" t="s">
        <v>50</v>
      </c>
      <c r="AQ5" s="94" t="s">
        <v>51</v>
      </c>
      <c r="AR5" s="112" t="s">
        <v>46</v>
      </c>
      <c r="AS5" s="430"/>
      <c r="AT5" s="431"/>
      <c r="AU5" s="431"/>
      <c r="AV5" s="418"/>
      <c r="AW5" s="432"/>
    </row>
    <row r="6" spans="1:58" ht="12.75" customHeight="1" x14ac:dyDescent="0.2">
      <c r="A6" s="34"/>
      <c r="B6" s="419" t="s">
        <v>181</v>
      </c>
      <c r="C6" s="421" t="s">
        <v>182</v>
      </c>
      <c r="D6" s="421" t="s">
        <v>183</v>
      </c>
      <c r="E6" s="423" t="s">
        <v>184</v>
      </c>
      <c r="F6" s="446" t="s">
        <v>111</v>
      </c>
      <c r="G6" s="447"/>
      <c r="H6" s="433" t="s">
        <v>111</v>
      </c>
      <c r="I6" s="434"/>
      <c r="J6" s="433" t="s">
        <v>111</v>
      </c>
      <c r="K6" s="434"/>
      <c r="L6" s="433" t="s">
        <v>185</v>
      </c>
      <c r="M6" s="435"/>
      <c r="N6" s="434"/>
      <c r="O6" s="436" t="s">
        <v>41</v>
      </c>
      <c r="P6" s="437"/>
      <c r="Q6" s="433" t="s">
        <v>189</v>
      </c>
      <c r="R6" s="435"/>
      <c r="S6" s="435"/>
      <c r="T6" s="434"/>
      <c r="U6" s="27" t="s">
        <v>190</v>
      </c>
      <c r="V6" s="27" t="s">
        <v>191</v>
      </c>
      <c r="W6" s="27" t="s">
        <v>191</v>
      </c>
      <c r="X6" s="444" t="s">
        <v>192</v>
      </c>
      <c r="Y6" s="137" t="s">
        <v>195</v>
      </c>
      <c r="Z6" s="421" t="s">
        <v>245</v>
      </c>
      <c r="AA6" s="137" t="s">
        <v>246</v>
      </c>
      <c r="AB6" s="443"/>
      <c r="AC6" s="432"/>
      <c r="AD6" s="432"/>
      <c r="AE6" s="432"/>
      <c r="AF6" s="454"/>
      <c r="AG6" s="429"/>
      <c r="AH6" s="102">
        <v>0.79166666666666663</v>
      </c>
      <c r="AI6" s="100">
        <v>0</v>
      </c>
      <c r="AJ6" s="104">
        <v>0.79166666666666663</v>
      </c>
      <c r="AK6" s="120">
        <v>0.91666666666666663</v>
      </c>
      <c r="AL6" s="100">
        <v>0</v>
      </c>
      <c r="AM6" s="96">
        <v>0.79166666666666663</v>
      </c>
      <c r="AN6" s="104">
        <v>0.91666666666666663</v>
      </c>
      <c r="AO6" s="113">
        <v>0.25</v>
      </c>
      <c r="AP6" s="114">
        <v>0.5</v>
      </c>
      <c r="AQ6" s="114">
        <v>0.75</v>
      </c>
      <c r="AR6" s="115">
        <v>0</v>
      </c>
      <c r="AS6" s="430"/>
      <c r="AT6" s="431"/>
      <c r="AU6" s="431"/>
      <c r="AV6" s="418"/>
      <c r="AW6" s="432"/>
      <c r="AZ6" s="22"/>
      <c r="BA6" s="23"/>
    </row>
    <row r="7" spans="1:58" ht="12.75" customHeight="1" x14ac:dyDescent="0.2">
      <c r="A7" s="34"/>
      <c r="B7" s="420"/>
      <c r="C7" s="422"/>
      <c r="D7" s="422"/>
      <c r="E7" s="424"/>
      <c r="F7" s="38" t="s">
        <v>112</v>
      </c>
      <c r="G7" s="39" t="s">
        <v>113</v>
      </c>
      <c r="H7" s="28" t="s">
        <v>112</v>
      </c>
      <c r="I7" s="139" t="s">
        <v>113</v>
      </c>
      <c r="J7" s="28" t="s">
        <v>112</v>
      </c>
      <c r="K7" s="139" t="s">
        <v>113</v>
      </c>
      <c r="L7" s="28" t="s">
        <v>186</v>
      </c>
      <c r="M7" s="29" t="s">
        <v>187</v>
      </c>
      <c r="N7" s="139" t="s">
        <v>44</v>
      </c>
      <c r="O7" s="441" t="s">
        <v>188</v>
      </c>
      <c r="P7" s="442"/>
      <c r="Q7" s="31" t="s">
        <v>198</v>
      </c>
      <c r="R7" s="32" t="s">
        <v>42</v>
      </c>
      <c r="S7" s="32" t="s">
        <v>199</v>
      </c>
      <c r="T7" s="140" t="s">
        <v>200</v>
      </c>
      <c r="U7" s="30" t="s">
        <v>43</v>
      </c>
      <c r="V7" s="33" t="s">
        <v>193</v>
      </c>
      <c r="W7" s="33" t="s">
        <v>194</v>
      </c>
      <c r="X7" s="445"/>
      <c r="Y7" s="138" t="s">
        <v>196</v>
      </c>
      <c r="Z7" s="422"/>
      <c r="AA7" s="138" t="s">
        <v>247</v>
      </c>
      <c r="AB7" s="443"/>
      <c r="AC7" s="432"/>
      <c r="AD7" s="432"/>
      <c r="AE7" s="432"/>
      <c r="AF7" s="454"/>
      <c r="AG7" s="429"/>
      <c r="AH7" s="102">
        <v>1</v>
      </c>
      <c r="AI7" s="100">
        <v>0.29166666666666669</v>
      </c>
      <c r="AJ7" s="104">
        <v>0.29166666666666669</v>
      </c>
      <c r="AK7" s="102">
        <v>1</v>
      </c>
      <c r="AL7" s="99">
        <v>0.25</v>
      </c>
      <c r="AM7" s="95">
        <v>0.91666666666666663</v>
      </c>
      <c r="AN7" s="103">
        <v>0.25</v>
      </c>
      <c r="AO7" s="106">
        <v>0.33333333333333331</v>
      </c>
      <c r="AP7" s="96">
        <v>0.58333333333333337</v>
      </c>
      <c r="AQ7" s="96">
        <v>0.83333333333333337</v>
      </c>
      <c r="AR7" s="104">
        <v>8.3333333333333329E-2</v>
      </c>
      <c r="AS7" s="430"/>
      <c r="AT7" s="431"/>
      <c r="AU7" s="431"/>
      <c r="AV7" s="418"/>
      <c r="AW7" s="432"/>
      <c r="AZ7" s="22" t="s">
        <v>197</v>
      </c>
      <c r="BA7" s="23"/>
    </row>
    <row r="8" spans="1:58" ht="12.75" customHeight="1" x14ac:dyDescent="0.2">
      <c r="A8" s="34"/>
      <c r="B8" s="59" t="str">
        <f t="shared" ref="B8:B38" si="0">CHOOSE(WEEKDAY(C8),"Di","Lu","Ma","Me","Je","Ve","Sa")</f>
        <v>Ma</v>
      </c>
      <c r="C8" s="60">
        <f>DATE(RIGHT(Configuration!$G$8,4),10,1)</f>
        <v>45566</v>
      </c>
      <c r="D8" s="61"/>
      <c r="E8" s="62"/>
      <c r="F8" s="63"/>
      <c r="G8" s="64"/>
      <c r="H8" s="63"/>
      <c r="I8" s="64"/>
      <c r="J8" s="63"/>
      <c r="K8" s="64"/>
      <c r="L8" s="40">
        <f t="shared" ref="L8:L38" si="1">(G8-F8)+(I8-H8)+(K8-J8)+SUM(AB8,AC8,AD8,AE8,AF8,AG8)</f>
        <v>0</v>
      </c>
      <c r="M8" s="65">
        <f>L8+M3+IF(Sep!F47="Non",Sep!M37,0)</f>
        <v>0</v>
      </c>
      <c r="N8" s="66">
        <f>IF(AND(D8&lt;&gt;"Jour libre 4/5",B8&lt;&gt;"Sa",B8&lt;&gt;"Di"),SUM(N7,Configuration!$H$41),SUM(N7))+IF(Sep!F47="Non",Sep!N37,0)</f>
        <v>6.9666666666666632</v>
      </c>
      <c r="O8" s="48" t="str">
        <f>IF(M8-N8-$M$4&gt;=0,"+","-")</f>
        <v>-</v>
      </c>
      <c r="P8" s="67">
        <f>ABS(M8-N8-$M$4)</f>
        <v>6.9666666666666632</v>
      </c>
      <c r="Q8" s="164">
        <f>AO8</f>
        <v>0</v>
      </c>
      <c r="R8" s="165">
        <f>AP8</f>
        <v>0</v>
      </c>
      <c r="S8" s="165">
        <f>AQ8</f>
        <v>0</v>
      </c>
      <c r="T8" s="166">
        <f>AR8</f>
        <v>0</v>
      </c>
      <c r="U8" s="93">
        <f t="shared" ref="U8:U38" si="2">IF(OR(AND(D8="Jour férié semaine",((G8-F8)+(I8-H8)+(K8-J8&gt;0))),B8="Sa",B8="Di"),L8,0)</f>
        <v>0</v>
      </c>
      <c r="V8" s="93">
        <f t="shared" ref="V8:V38" si="3">IF($R$2="Oui",AM8,0)</f>
        <v>0</v>
      </c>
      <c r="W8" s="93">
        <f t="shared" ref="W8:W38" si="4">IF($R$2="Oui",AN8,0)</f>
        <v>0</v>
      </c>
      <c r="X8" s="93">
        <f t="shared" ref="X8:X38" si="5">IF($R$3="Oui",AJ8,0)</f>
        <v>0</v>
      </c>
      <c r="Y8" s="207"/>
      <c r="Z8" s="208"/>
      <c r="AA8" s="208"/>
      <c r="AB8" s="128">
        <f>IF(AND(D8="Jour férié semaine",((G8-F8)+(I8-H8)+(K8-J8)=0)),VLOOKUP(D8,Systeemgegevens!$J:$K,2,FALSE),0)</f>
        <v>0</v>
      </c>
      <c r="AC8" s="43">
        <f>IF(AND(NOT(ISERROR(FIND("Congé",D8))),ISERROR(FIND("1/2",D8)),ISERROR(FIND("Synd",D8)),ISERROR(FIND("synd",D8)),(G8-F8+I8-H8+K8-J8)=0),VLOOKUP(D8,Systeemgegevens!$J:$K,2,FALSE),IF(AND(NOT(ISERROR(FIND("1/2 Congé + ",D8))),(G8-F8+I8-H8+K8-J8)=0),VLOOKUP(D8,Systeemgegevens!$J:$K,2,FALSE)/2,IF(AND(NOT(ISERROR(FIND("1/2 Congé",D8))),ISERROR(FIND(" + ",D8)),ISERROR(FIND("1/2 Congé Synd.",D8))),VLOOKUP(D8,Systeemgegevens!$J:$K,2,FALSE),0)))</f>
        <v>0</v>
      </c>
      <c r="AD8" s="43">
        <f>IF(AND(OR(D8="1/2 Congé Synd.",D8="Congé Synd."),((G8-F8)+(I8-H8)+(K8-J8)=0)),VLOOKUP(D8,Systeemgegevens!$J:$K,2,FALSE),IF(AND(D8="1/2 Congé + 1/2 synd.",((G8-F8)+(I8-H8)+(K8-J8)=0)),AC8,0))</f>
        <v>0</v>
      </c>
      <c r="AE8" s="43">
        <f>IF(AND(D8="Jour de pont",((G8-F8)+(I8-H8)+(K8-J8)=0)),VLOOKUP(D8,Systeemgegevens!$J:$K,2,FALSE),0)</f>
        <v>0</v>
      </c>
      <c r="AF8" s="43">
        <f>IF(AND(D8="Jour libre 4/5",AND((G8-F8)+(I8-H8)+(K8-J8)=0)),VLOOKUP(D8,Systeemgegevens!$J:$K,2,FALSE),0)</f>
        <v>0</v>
      </c>
      <c r="AG8" s="118">
        <f>IF(AND(D8&lt;&gt;"",SUM(AB8:AF8)=0,D8&lt;&gt;$AB$4,D8&lt;&gt;$AC$4,D8&lt;&gt;$AD$4,D8&lt;&gt;$AE$4,D8&lt;&gt;$AF$4),VLOOKUP(D8,Systeemgegevens!$J:$K,2,FALSE),0)</f>
        <v>0</v>
      </c>
      <c r="AH8" s="119">
        <f t="shared" ref="AH8:AH38" si="6">SUM(IF(AND(G8&gt;$AH$6,F8&lt;=$AH$6),G8-$AH$6,0),IF(F8&gt;$AH$6,G8-F8,0),IF(AND(I8&gt;$AH$6,H8&lt;=$AH$6),I8-$AH$6,0),IF(H8&gt;$AH$6,I8-H8,0),IF(AND(K8&gt;$AH$6,J8&lt;=$AH$6),K8-$AH$6,0),IF(J8&gt;$AH$6,K8-J8,0))</f>
        <v>0</v>
      </c>
      <c r="AI8" s="101">
        <f t="shared" ref="AI8:AI38" si="7">SUM(IF(AND(G8&gt;=$AI$7,F8&lt;$AI$7),$AI$7-F8,0),IF(G8&lt;$AI$7,G8-F8,0),IF(AND(I8&gt;=$AI$7,H8&lt;$AI$7),$AI$7-H8,0),IF(I8&lt;$AI$7,I8-H8,0),IF(AND(K8&gt;=$AI$7,J8&lt;$AI$7),$AI$7-J8,0),IF(K8&lt;$AI$7,K8-J8,0))</f>
        <v>0</v>
      </c>
      <c r="AJ8" s="118">
        <f>SUM(AH8:AI8)</f>
        <v>0</v>
      </c>
      <c r="AK8" s="119">
        <f t="shared" ref="AK8:AK38" si="8">SUM(IF(AND(G8&gt;$AK$6,F8&lt;=$AK$6),G8-$AK$6,0),IF(F8&gt;$AK$6,G8-F8,0),IF(AND(I8&gt;$AK$6,H8&lt;=$AK$6),I8-$AK$6,0),IF(H8&gt;$AK$6,I8-H8,0),IF(AND(K8&gt;$AK$6,J8&lt;=$AK$6),K8-$AK$6,0),IF(J8&gt;$AK$6,K8-J8,0))</f>
        <v>0</v>
      </c>
      <c r="AL8" s="101">
        <f t="shared" ref="AL8:AL38" si="9">SUM(IF(AND(G8&gt;=$AL$7,F8&lt;$AL$7),$AL$7-F8,0),IF(G8&lt;$AL$7,G8-F8,0),IF(AND(I8&gt;=$AL$7,H8&lt;$AL$7),$AL$7-H8,0),IF(I8&lt;$AL$7,I8-H8,0),IF(AND(K8&gt;=$AL$7,J8&lt;$AL$7),$AL$7-J8,0),IF(K8&lt;$AL$7,K8-J8,0))</f>
        <v>0</v>
      </c>
      <c r="AM8" s="43">
        <f>AH8-AK8</f>
        <v>0</v>
      </c>
      <c r="AN8" s="118">
        <f>AK8+AL8</f>
        <v>0</v>
      </c>
      <c r="AO8" s="122">
        <f t="shared" ref="AO8:AO38" si="10">SUM(IF(AND(F8&lt;=$AO$6,G8&gt;=$AO$7),1,0),IF(AND(H8&lt;=$AO$6,I8&gt;=$AO$7),1,0),IF(AND(J8&lt;=$AO$6,K8&gt;=$AO$7),1,0))</f>
        <v>0</v>
      </c>
      <c r="AP8" s="107">
        <f t="shared" ref="AP8:AP38" si="11">SUM(IF(AND(F8&lt;=$AP$6,G8&gt;=$AP$7),1,0),IF(AND(H8&lt;=$AP$6,I8&gt;=$AP$7),1,0),IF(AND(J8&lt;=$AP$6,K8&gt;=$AP$7),1,0))</f>
        <v>0</v>
      </c>
      <c r="AQ8" s="107">
        <f t="shared" ref="AQ8:AQ38" si="12">SUM(IF(AND(F8&lt;=$AQ$6,G8&gt;=$AQ$7),1,0),IF(AND(H8&lt;=$AQ$6,I8&gt;=$AQ$7),1,0),IF(AND(J8&lt;=$AQ$6,K8&gt;=$AQ$7),1,0))</f>
        <v>0</v>
      </c>
      <c r="AR8" s="123">
        <f t="shared" ref="AR8:AR38" si="13">SUM(IF(AND(F8&lt;=$AR$6,G8&gt;=$AR$7),1,0),IF(AND(H8&lt;=$AR$6,I8&gt;=$AR$7),1,0),IF(AND(J8&lt;=$AR$6,K8&gt;=$AR$7),1,0))</f>
        <v>0</v>
      </c>
      <c r="AS8" s="124">
        <f t="shared" ref="AS8:AS38" si="14">IF(OR(E8="M",E8="ME"),1,0)</f>
        <v>0</v>
      </c>
      <c r="AT8" s="124">
        <f t="shared" ref="AT8:AT38" si="15">IF(OR(E8="E",E8="ME"),1,0)</f>
        <v>0</v>
      </c>
      <c r="AU8" s="124">
        <f t="shared" ref="AU8:AU38" si="16">IF(AND(OR(D8="Jour férié semaine",D8="Jour de pont"),((G8-F8)+(I8-H8)+(K8-J8)&gt;0)),1,0)</f>
        <v>0</v>
      </c>
      <c r="AV8" s="117" t="s">
        <v>36</v>
      </c>
      <c r="AW8" s="129">
        <f>IF(($R$41=AV8)*AND($R$42&lt;&gt;""),VLOOKUP($R$42,'Barèmes police'!$B$4:$C$30,2),0)</f>
        <v>14703.88</v>
      </c>
      <c r="AX8" s="15"/>
      <c r="AY8" s="14"/>
      <c r="AZ8" s="269"/>
      <c r="BA8" s="154"/>
      <c r="BB8" s="154"/>
      <c r="BC8" s="154"/>
      <c r="BD8" s="154"/>
      <c r="BE8" s="154"/>
      <c r="BF8" s="154"/>
    </row>
    <row r="9" spans="1:58" ht="12.75" customHeight="1" x14ac:dyDescent="0.2">
      <c r="A9" s="34"/>
      <c r="B9" s="24" t="str">
        <f t="shared" si="0"/>
        <v>Me</v>
      </c>
      <c r="C9" s="25">
        <f>C8+1</f>
        <v>45567</v>
      </c>
      <c r="D9" s="51"/>
      <c r="E9" s="116"/>
      <c r="F9" s="52"/>
      <c r="G9" s="53"/>
      <c r="H9" s="52"/>
      <c r="I9" s="53"/>
      <c r="J9" s="54"/>
      <c r="K9" s="55"/>
      <c r="L9" s="40">
        <f t="shared" si="1"/>
        <v>0</v>
      </c>
      <c r="M9" s="41">
        <f>M8+L9</f>
        <v>0</v>
      </c>
      <c r="N9" s="42">
        <f>IF(AND(D9&lt;&gt;"Jour libre 4/5",B9&lt;&gt;"Sa",B9&lt;&gt;"Di"),SUM(N8,Configuration!$H$41),SUM(N8))</f>
        <v>7.2833333333333297</v>
      </c>
      <c r="O9" s="49" t="str">
        <f>IF(M9-N9-$M$4&gt;=0,"+","-")</f>
        <v>-</v>
      </c>
      <c r="P9" s="143">
        <f t="shared" ref="P9:P38" si="17">ABS(M9-N9-$M$4)</f>
        <v>7.2833333333333297</v>
      </c>
      <c r="Q9" s="167">
        <f t="shared" ref="Q9:T38" si="18">AO9</f>
        <v>0</v>
      </c>
      <c r="R9" s="168">
        <f t="shared" si="18"/>
        <v>0</v>
      </c>
      <c r="S9" s="168">
        <f t="shared" si="18"/>
        <v>0</v>
      </c>
      <c r="T9" s="169">
        <f t="shared" si="18"/>
        <v>0</v>
      </c>
      <c r="U9" s="97">
        <f t="shared" si="2"/>
        <v>0</v>
      </c>
      <c r="V9" s="97">
        <f t="shared" si="3"/>
        <v>0</v>
      </c>
      <c r="W9" s="97">
        <f t="shared" si="4"/>
        <v>0</v>
      </c>
      <c r="X9" s="97">
        <f t="shared" si="5"/>
        <v>0</v>
      </c>
      <c r="Y9" s="209"/>
      <c r="Z9" s="210"/>
      <c r="AA9" s="210"/>
      <c r="AB9" s="128">
        <f>IF(AND(D9="Jour férié semaine",((G9-F9)+(I9-H9)+(K9-J9)=0)),VLOOKUP(D9,Systeemgegevens!$J:$K,2,FALSE),0)</f>
        <v>0</v>
      </c>
      <c r="AC9" s="43">
        <f>IF(AND(NOT(ISERROR(FIND("Congé",D9))),ISERROR(FIND("1/2",D9)),ISERROR(FIND("Synd",D9)),ISERROR(FIND("synd",D9)),(G9-F9+I9-H9+K9-J9)=0),VLOOKUP(D9,Systeemgegevens!$J:$K,2,FALSE),IF(AND(NOT(ISERROR(FIND("1/2 Congé + ",D9))),(G9-F9+I9-H9+K9-J9)=0),VLOOKUP(D9,Systeemgegevens!$J:$K,2,FALSE)/2,IF(AND(NOT(ISERROR(FIND("1/2 Congé",D9))),ISERROR(FIND(" + ",D9)),ISERROR(FIND("1/2 Congé Synd.",D9))),VLOOKUP(D9,Systeemgegevens!$J:$K,2,FALSE),0)))</f>
        <v>0</v>
      </c>
      <c r="AD9" s="43">
        <f>IF(AND(OR(D9="1/2 Congé Synd.",D9="Congé Synd."),((G9-F9)+(I9-H9)+(K9-J9)=0)),VLOOKUP(D9,Systeemgegevens!$J:$K,2,FALSE),IF(AND(D9="1/2 Congé + 1/2 synd.",((G9-F9)+(I9-H9)+(K9-J9)=0)),AC9,0))</f>
        <v>0</v>
      </c>
      <c r="AE9" s="43">
        <f>IF(AND(D9="Jour de pont",((G9-F9)+(I9-H9)+(K9-J9)=0)),VLOOKUP(D9,Systeemgegevens!$J:$K,2,FALSE),0)</f>
        <v>0</v>
      </c>
      <c r="AF9" s="43">
        <f>IF(AND(D9="Jour libre 4/5",AND((G9-F9)+(I9-H9)+(K9-J9)=0)),VLOOKUP(D9,Systeemgegevens!$J:$K,2,FALSE),0)</f>
        <v>0</v>
      </c>
      <c r="AG9" s="118">
        <f>IF(AND(D9&lt;&gt;"",SUM(AB9:AF9)=0,D9&lt;&gt;$AB$4,D9&lt;&gt;$AC$4,D9&lt;&gt;$AE$4,D9&lt;&gt;$AF$4),VLOOKUP(D9,Systeemgegevens!$J:$K,2,FALSE),0)</f>
        <v>0</v>
      </c>
      <c r="AH9" s="119">
        <f t="shared" si="6"/>
        <v>0</v>
      </c>
      <c r="AI9" s="101">
        <f t="shared" si="7"/>
        <v>0</v>
      </c>
      <c r="AJ9" s="118">
        <f t="shared" ref="AJ9:AJ38" si="19">SUM(AH9:AI9)</f>
        <v>0</v>
      </c>
      <c r="AK9" s="119">
        <f t="shared" si="8"/>
        <v>0</v>
      </c>
      <c r="AL9" s="101">
        <f t="shared" si="9"/>
        <v>0</v>
      </c>
      <c r="AM9" s="43">
        <f t="shared" ref="AM9:AM38" si="20">AH9-AK9</f>
        <v>0</v>
      </c>
      <c r="AN9" s="118">
        <f t="shared" ref="AN9:AN38" si="21">AK9+AL9</f>
        <v>0</v>
      </c>
      <c r="AO9" s="122">
        <f t="shared" si="10"/>
        <v>0</v>
      </c>
      <c r="AP9" s="107">
        <f t="shared" si="11"/>
        <v>0</v>
      </c>
      <c r="AQ9" s="107">
        <f t="shared" si="12"/>
        <v>0</v>
      </c>
      <c r="AR9" s="123">
        <f t="shared" si="13"/>
        <v>0</v>
      </c>
      <c r="AS9" s="124">
        <f t="shared" si="14"/>
        <v>0</v>
      </c>
      <c r="AT9" s="124">
        <f t="shared" si="15"/>
        <v>0</v>
      </c>
      <c r="AU9" s="124">
        <f t="shared" si="16"/>
        <v>0</v>
      </c>
      <c r="AV9" s="117" t="s">
        <v>35</v>
      </c>
      <c r="AW9" s="129">
        <f>IF(($R$41=AV9)*AND($R$42&lt;&gt;""),VLOOKUP($R$42,'Barèmes police'!$E$4:$F$30,2),0)</f>
        <v>0</v>
      </c>
      <c r="AX9" s="16" t="str">
        <f>IF('Types de jours'!F15&lt;&gt;"",'Types de jours'!F15,"")</f>
        <v>Congé</v>
      </c>
      <c r="AY9" s="144">
        <f>IF(AX9&lt;&gt;"",'Types de jours'!I15,"")</f>
        <v>0.31666666666666665</v>
      </c>
      <c r="AZ9" s="269"/>
      <c r="BA9" s="154"/>
      <c r="BB9" s="154"/>
      <c r="BC9" s="154"/>
      <c r="BD9" s="154"/>
      <c r="BE9" s="154"/>
      <c r="BF9" s="154"/>
    </row>
    <row r="10" spans="1:58" ht="12.75" customHeight="1" x14ac:dyDescent="0.2">
      <c r="A10" s="34"/>
      <c r="B10" s="24" t="str">
        <f t="shared" si="0"/>
        <v>Je</v>
      </c>
      <c r="C10" s="25">
        <f t="shared" ref="C10:C38" si="22">C9+1</f>
        <v>45568</v>
      </c>
      <c r="D10" s="51"/>
      <c r="E10" s="116"/>
      <c r="F10" s="52"/>
      <c r="G10" s="53"/>
      <c r="H10" s="52"/>
      <c r="I10" s="53"/>
      <c r="J10" s="54"/>
      <c r="K10" s="55"/>
      <c r="L10" s="40">
        <f t="shared" si="1"/>
        <v>0</v>
      </c>
      <c r="M10" s="41">
        <f t="shared" ref="M10:M37" si="23">M9+L10</f>
        <v>0</v>
      </c>
      <c r="N10" s="42">
        <f>IF(AND(D10&lt;&gt;"Jour libre 4/5",B10&lt;&gt;"Sa",B10&lt;&gt;"Di"),SUM(N9,Configuration!$H$41),SUM(N9))</f>
        <v>7.5999999999999961</v>
      </c>
      <c r="O10" s="49" t="str">
        <f t="shared" ref="O10:O38" si="24">IF(M10-N10-$M$4&gt;=0,"+","-")</f>
        <v>-</v>
      </c>
      <c r="P10" s="143">
        <f t="shared" si="17"/>
        <v>7.5999999999999961</v>
      </c>
      <c r="Q10" s="167">
        <f t="shared" si="18"/>
        <v>0</v>
      </c>
      <c r="R10" s="168">
        <f t="shared" si="18"/>
        <v>0</v>
      </c>
      <c r="S10" s="168">
        <f t="shared" si="18"/>
        <v>0</v>
      </c>
      <c r="T10" s="169">
        <f t="shared" si="18"/>
        <v>0</v>
      </c>
      <c r="U10" s="97">
        <f t="shared" si="2"/>
        <v>0</v>
      </c>
      <c r="V10" s="97">
        <f t="shared" si="3"/>
        <v>0</v>
      </c>
      <c r="W10" s="97">
        <f t="shared" si="4"/>
        <v>0</v>
      </c>
      <c r="X10" s="97">
        <f t="shared" si="5"/>
        <v>0</v>
      </c>
      <c r="Y10" s="209"/>
      <c r="Z10" s="210"/>
      <c r="AA10" s="210"/>
      <c r="AB10" s="128">
        <f>IF(AND(D10="Jour férié semaine",((G10-F10)+(I10-H10)+(K10-J10)=0)),VLOOKUP(D10,Systeemgegevens!$J:$K,2,FALSE),0)</f>
        <v>0</v>
      </c>
      <c r="AC10" s="43">
        <f>IF(AND(NOT(ISERROR(FIND("Congé",D10))),ISERROR(FIND("1/2",D10)),ISERROR(FIND("Synd",D10)),ISERROR(FIND("synd",D10)),(G10-F10+I10-H10+K10-J10)=0),VLOOKUP(D10,Systeemgegevens!$J:$K,2,FALSE),IF(AND(NOT(ISERROR(FIND("1/2 Congé + ",D10))),(G10-F10+I10-H10+K10-J10)=0),VLOOKUP(D10,Systeemgegevens!$J:$K,2,FALSE)/2,IF(AND(NOT(ISERROR(FIND("1/2 Congé",D10))),ISERROR(FIND(" + ",D10)),ISERROR(FIND("1/2 Congé Synd.",D10))),VLOOKUP(D10,Systeemgegevens!$J:$K,2,FALSE),0)))</f>
        <v>0</v>
      </c>
      <c r="AD10" s="43">
        <f>IF(AND(OR(D10="1/2 Congé Synd.",D10="Congé Synd."),((G10-F10)+(I10-H10)+(K10-J10)=0)),VLOOKUP(D10,Systeemgegevens!$J:$K,2,FALSE),IF(AND(D10="1/2 Congé + 1/2 synd.",((G10-F10)+(I10-H10)+(K10-J10)=0)),AC10,0))</f>
        <v>0</v>
      </c>
      <c r="AE10" s="43">
        <f>IF(AND(D10="Jour de pont",((G10-F10)+(I10-H10)+(K10-J10)=0)),VLOOKUP(D10,Systeemgegevens!$J:$K,2,FALSE),0)</f>
        <v>0</v>
      </c>
      <c r="AF10" s="43">
        <f>IF(AND(D10="Jour libre 4/5",AND((G10-F10)+(I10-H10)+(K10-J10)=0)),VLOOKUP(D10,Systeemgegevens!$J:$K,2,FALSE),0)</f>
        <v>0</v>
      </c>
      <c r="AG10" s="118">
        <f>IF(AND(D10&lt;&gt;"",SUM(AB10:AF10)=0,D10&lt;&gt;$AB$4,D10&lt;&gt;$AC$4,D10&lt;&gt;$AE$4,D10&lt;&gt;$AF$4),VLOOKUP(D10,Systeemgegevens!$J:$K,2,FALSE),0)</f>
        <v>0</v>
      </c>
      <c r="AH10" s="119">
        <f t="shared" si="6"/>
        <v>0</v>
      </c>
      <c r="AI10" s="101">
        <f t="shared" si="7"/>
        <v>0</v>
      </c>
      <c r="AJ10" s="118">
        <f t="shared" si="19"/>
        <v>0</v>
      </c>
      <c r="AK10" s="119">
        <f t="shared" si="8"/>
        <v>0</v>
      </c>
      <c r="AL10" s="101">
        <f t="shared" si="9"/>
        <v>0</v>
      </c>
      <c r="AM10" s="43">
        <f t="shared" si="20"/>
        <v>0</v>
      </c>
      <c r="AN10" s="118">
        <f t="shared" si="21"/>
        <v>0</v>
      </c>
      <c r="AO10" s="122">
        <f t="shared" si="10"/>
        <v>0</v>
      </c>
      <c r="AP10" s="107">
        <f t="shared" si="11"/>
        <v>0</v>
      </c>
      <c r="AQ10" s="107">
        <f t="shared" si="12"/>
        <v>0</v>
      </c>
      <c r="AR10" s="123">
        <f t="shared" si="13"/>
        <v>0</v>
      </c>
      <c r="AS10" s="124">
        <f t="shared" si="14"/>
        <v>0</v>
      </c>
      <c r="AT10" s="124">
        <f t="shared" si="15"/>
        <v>0</v>
      </c>
      <c r="AU10" s="124">
        <f t="shared" si="16"/>
        <v>0</v>
      </c>
      <c r="AV10" s="117" t="s">
        <v>34</v>
      </c>
      <c r="AW10" s="129">
        <f>IF(($R$41=AV10)*AND($R$42&lt;&gt;""),VLOOKUP($R$42,'Barèmes police'!$H$4:$I$30,2),0)</f>
        <v>0</v>
      </c>
      <c r="AX10" s="16" t="str">
        <f>IF('Types de jours'!F16&lt;&gt;"",'Types de jours'!F16,"")</f>
        <v>1/2 Congé</v>
      </c>
      <c r="AY10" s="144">
        <f>IF(AX10&lt;&gt;"",'Types de jours'!I16,"")</f>
        <v>0.15833333333333333</v>
      </c>
      <c r="AZ10" s="269"/>
      <c r="BA10" s="154"/>
      <c r="BB10" s="154"/>
      <c r="BC10" s="154"/>
      <c r="BD10" s="154"/>
      <c r="BE10" s="154"/>
      <c r="BF10" s="154"/>
    </row>
    <row r="11" spans="1:58" ht="12.75" customHeight="1" x14ac:dyDescent="0.2">
      <c r="A11" s="34"/>
      <c r="B11" s="24" t="str">
        <f t="shared" si="0"/>
        <v>Ve</v>
      </c>
      <c r="C11" s="25">
        <f t="shared" si="22"/>
        <v>45569</v>
      </c>
      <c r="D11" s="51"/>
      <c r="E11" s="116"/>
      <c r="F11" s="52"/>
      <c r="G11" s="53"/>
      <c r="H11" s="52"/>
      <c r="I11" s="53"/>
      <c r="J11" s="54"/>
      <c r="K11" s="55"/>
      <c r="L11" s="40">
        <f t="shared" si="1"/>
        <v>0</v>
      </c>
      <c r="M11" s="41">
        <f t="shared" si="23"/>
        <v>0</v>
      </c>
      <c r="N11" s="42">
        <f>IF(AND(D11&lt;&gt;"Jour libre 4/5",B11&lt;&gt;"Sa",B11&lt;&gt;"Di"),SUM(N10,Configuration!$H$41),SUM(N10))</f>
        <v>7.9166666666666625</v>
      </c>
      <c r="O11" s="49" t="str">
        <f t="shared" si="24"/>
        <v>-</v>
      </c>
      <c r="P11" s="143">
        <f t="shared" si="17"/>
        <v>7.9166666666666625</v>
      </c>
      <c r="Q11" s="167">
        <f t="shared" si="18"/>
        <v>0</v>
      </c>
      <c r="R11" s="168">
        <f t="shared" si="18"/>
        <v>0</v>
      </c>
      <c r="S11" s="168">
        <f t="shared" si="18"/>
        <v>0</v>
      </c>
      <c r="T11" s="169">
        <f t="shared" si="18"/>
        <v>0</v>
      </c>
      <c r="U11" s="97">
        <f t="shared" si="2"/>
        <v>0</v>
      </c>
      <c r="V11" s="97">
        <f t="shared" si="3"/>
        <v>0</v>
      </c>
      <c r="W11" s="97">
        <f t="shared" si="4"/>
        <v>0</v>
      </c>
      <c r="X11" s="97">
        <f t="shared" si="5"/>
        <v>0</v>
      </c>
      <c r="Y11" s="209"/>
      <c r="Z11" s="210"/>
      <c r="AA11" s="210"/>
      <c r="AB11" s="128">
        <f>IF(AND(D11="Jour férié semaine",((G11-F11)+(I11-H11)+(K11-J11)=0)),VLOOKUP(D11,Systeemgegevens!$J:$K,2,FALSE),0)</f>
        <v>0</v>
      </c>
      <c r="AC11" s="43">
        <f>IF(AND(NOT(ISERROR(FIND("Congé",D11))),ISERROR(FIND("1/2",D11)),ISERROR(FIND("Synd",D11)),ISERROR(FIND("synd",D11)),(G11-F11+I11-H11+K11-J11)=0),VLOOKUP(D11,Systeemgegevens!$J:$K,2,FALSE),IF(AND(NOT(ISERROR(FIND("1/2 Congé + ",D11))),(G11-F11+I11-H11+K11-J11)=0),VLOOKUP(D11,Systeemgegevens!$J:$K,2,FALSE)/2,IF(AND(NOT(ISERROR(FIND("1/2 Congé",D11))),ISERROR(FIND(" + ",D11)),ISERROR(FIND("1/2 Congé Synd.",D11))),VLOOKUP(D11,Systeemgegevens!$J:$K,2,FALSE),0)))</f>
        <v>0</v>
      </c>
      <c r="AD11" s="43">
        <f>IF(AND(OR(D11="1/2 Congé Synd.",D11="Congé Synd."),((G11-F11)+(I11-H11)+(K11-J11)=0)),VLOOKUP(D11,Systeemgegevens!$J:$K,2,FALSE),IF(AND(D11="1/2 Congé + 1/2 synd.",((G11-F11)+(I11-H11)+(K11-J11)=0)),AC11,0))</f>
        <v>0</v>
      </c>
      <c r="AE11" s="43">
        <f>IF(AND(D11="Jour de pont",((G11-F11)+(I11-H11)+(K11-J11)=0)),VLOOKUP(D11,Systeemgegevens!$J:$K,2,FALSE),0)</f>
        <v>0</v>
      </c>
      <c r="AF11" s="43">
        <f>IF(AND(D11="Jour libre 4/5",AND((G11-F11)+(I11-H11)+(K11-J11)=0)),VLOOKUP(D11,Systeemgegevens!$J:$K,2,FALSE),0)</f>
        <v>0</v>
      </c>
      <c r="AG11" s="118">
        <f>IF(AND(D11&lt;&gt;"",SUM(AB11:AF11)=0,D11&lt;&gt;$AB$4,D11&lt;&gt;$AC$4,D11&lt;&gt;$AE$4,D11&lt;&gt;$AF$4),VLOOKUP(D11,Systeemgegevens!$J:$K,2,FALSE),0)</f>
        <v>0</v>
      </c>
      <c r="AH11" s="119">
        <f t="shared" si="6"/>
        <v>0</v>
      </c>
      <c r="AI11" s="101">
        <f t="shared" si="7"/>
        <v>0</v>
      </c>
      <c r="AJ11" s="118">
        <f t="shared" si="19"/>
        <v>0</v>
      </c>
      <c r="AK11" s="119">
        <f t="shared" si="8"/>
        <v>0</v>
      </c>
      <c r="AL11" s="101">
        <f t="shared" si="9"/>
        <v>0</v>
      </c>
      <c r="AM11" s="43">
        <f t="shared" si="20"/>
        <v>0</v>
      </c>
      <c r="AN11" s="118">
        <f t="shared" si="21"/>
        <v>0</v>
      </c>
      <c r="AO11" s="122">
        <f t="shared" si="10"/>
        <v>0</v>
      </c>
      <c r="AP11" s="107">
        <f t="shared" si="11"/>
        <v>0</v>
      </c>
      <c r="AQ11" s="107">
        <f t="shared" si="12"/>
        <v>0</v>
      </c>
      <c r="AR11" s="123">
        <f t="shared" si="13"/>
        <v>0</v>
      </c>
      <c r="AS11" s="124">
        <f t="shared" si="14"/>
        <v>0</v>
      </c>
      <c r="AT11" s="124">
        <f t="shared" si="15"/>
        <v>0</v>
      </c>
      <c r="AU11" s="124">
        <f t="shared" si="16"/>
        <v>0</v>
      </c>
      <c r="AV11" s="117" t="s">
        <v>268</v>
      </c>
      <c r="AW11" s="129">
        <f>IF(($R$41=AV11)*AND($R$42&lt;&gt;""),VLOOKUP($R$42,'Barèmes police'!$K$4:$L$30,2),0)</f>
        <v>0</v>
      </c>
      <c r="AX11" s="16" t="str">
        <f>IF('Types de jours'!F17&lt;&gt;"",'Types de jours'!F17,"")</f>
        <v>Malade</v>
      </c>
      <c r="AY11" s="144">
        <f>IF(AX11&lt;&gt;"",'Types de jours'!I17,"")</f>
        <v>0.31666666666666665</v>
      </c>
      <c r="AZ11" s="269"/>
      <c r="BA11" s="154"/>
      <c r="BB11" s="154"/>
      <c r="BC11" s="154"/>
      <c r="BD11" s="154"/>
      <c r="BE11" s="154"/>
      <c r="BF11" s="154"/>
    </row>
    <row r="12" spans="1:58" ht="12.75" customHeight="1" x14ac:dyDescent="0.2">
      <c r="A12" s="34"/>
      <c r="B12" s="24" t="str">
        <f t="shared" si="0"/>
        <v>Sa</v>
      </c>
      <c r="C12" s="25">
        <f t="shared" si="22"/>
        <v>45570</v>
      </c>
      <c r="D12" s="51"/>
      <c r="E12" s="116"/>
      <c r="F12" s="52"/>
      <c r="G12" s="53"/>
      <c r="H12" s="52"/>
      <c r="I12" s="53"/>
      <c r="J12" s="54"/>
      <c r="K12" s="55"/>
      <c r="L12" s="40">
        <f t="shared" si="1"/>
        <v>0</v>
      </c>
      <c r="M12" s="41">
        <f t="shared" si="23"/>
        <v>0</v>
      </c>
      <c r="N12" s="42">
        <f>IF(AND(D12&lt;&gt;"Jour libre 4/5",B12&lt;&gt;"Sa",B12&lt;&gt;"Di"),SUM(N11,Configuration!$H$41),SUM(N11))</f>
        <v>7.9166666666666625</v>
      </c>
      <c r="O12" s="49" t="str">
        <f t="shared" si="24"/>
        <v>-</v>
      </c>
      <c r="P12" s="143">
        <f t="shared" si="17"/>
        <v>7.9166666666666625</v>
      </c>
      <c r="Q12" s="167">
        <f t="shared" si="18"/>
        <v>0</v>
      </c>
      <c r="R12" s="168">
        <f t="shared" si="18"/>
        <v>0</v>
      </c>
      <c r="S12" s="168">
        <f t="shared" si="18"/>
        <v>0</v>
      </c>
      <c r="T12" s="169">
        <f t="shared" si="18"/>
        <v>0</v>
      </c>
      <c r="U12" s="97">
        <f t="shared" si="2"/>
        <v>0</v>
      </c>
      <c r="V12" s="97">
        <f t="shared" si="3"/>
        <v>0</v>
      </c>
      <c r="W12" s="97">
        <f t="shared" si="4"/>
        <v>0</v>
      </c>
      <c r="X12" s="97">
        <f t="shared" si="5"/>
        <v>0</v>
      </c>
      <c r="Y12" s="209"/>
      <c r="Z12" s="210"/>
      <c r="AA12" s="210"/>
      <c r="AB12" s="128">
        <f>IF(AND(D12="Jour férié semaine",((G12-F12)+(I12-H12)+(K12-J12)=0)),VLOOKUP(D12,Systeemgegevens!$J:$K,2,FALSE),0)</f>
        <v>0</v>
      </c>
      <c r="AC12" s="43">
        <f>IF(AND(NOT(ISERROR(FIND("Congé",D12))),ISERROR(FIND("1/2",D12)),ISERROR(FIND("Synd",D12)),ISERROR(FIND("synd",D12)),(G12-F12+I12-H12+K12-J12)=0),VLOOKUP(D12,Systeemgegevens!$J:$K,2,FALSE),IF(AND(NOT(ISERROR(FIND("1/2 Congé + ",D12))),(G12-F12+I12-H12+K12-J12)=0),VLOOKUP(D12,Systeemgegevens!$J:$K,2,FALSE)/2,IF(AND(NOT(ISERROR(FIND("1/2 Congé",D12))),ISERROR(FIND(" + ",D12)),ISERROR(FIND("1/2 Congé Synd.",D12))),VLOOKUP(D12,Systeemgegevens!$J:$K,2,FALSE),0)))</f>
        <v>0</v>
      </c>
      <c r="AD12" s="43">
        <f>IF(AND(OR(D12="1/2 Congé Synd.",D12="Congé Synd."),((G12-F12)+(I12-H12)+(K12-J12)=0)),VLOOKUP(D12,Systeemgegevens!$J:$K,2,FALSE),IF(AND(D12="1/2 Congé + 1/2 synd.",((G12-F12)+(I12-H12)+(K12-J12)=0)),AC12,0))</f>
        <v>0</v>
      </c>
      <c r="AE12" s="43">
        <f>IF(AND(D12="Jour de pont",((G12-F12)+(I12-H12)+(K12-J12)=0)),VLOOKUP(D12,Systeemgegevens!$J:$K,2,FALSE),0)</f>
        <v>0</v>
      </c>
      <c r="AF12" s="43">
        <f>IF(AND(D12="Jour libre 4/5",AND((G12-F12)+(I12-H12)+(K12-J12)=0)),VLOOKUP(D12,Systeemgegevens!$J:$K,2,FALSE),0)</f>
        <v>0</v>
      </c>
      <c r="AG12" s="118">
        <f>IF(AND(D12&lt;&gt;"",SUM(AB12:AF12)=0,D12&lt;&gt;$AB$4,D12&lt;&gt;$AC$4,D12&lt;&gt;$AE$4,D12&lt;&gt;$AF$4),VLOOKUP(D12,Systeemgegevens!$J:$K,2,FALSE),0)</f>
        <v>0</v>
      </c>
      <c r="AH12" s="119">
        <f t="shared" si="6"/>
        <v>0</v>
      </c>
      <c r="AI12" s="101">
        <f t="shared" si="7"/>
        <v>0</v>
      </c>
      <c r="AJ12" s="118">
        <f t="shared" si="19"/>
        <v>0</v>
      </c>
      <c r="AK12" s="119">
        <f t="shared" si="8"/>
        <v>0</v>
      </c>
      <c r="AL12" s="101">
        <f t="shared" si="9"/>
        <v>0</v>
      </c>
      <c r="AM12" s="43">
        <f t="shared" si="20"/>
        <v>0</v>
      </c>
      <c r="AN12" s="118">
        <f t="shared" si="21"/>
        <v>0</v>
      </c>
      <c r="AO12" s="122">
        <f t="shared" si="10"/>
        <v>0</v>
      </c>
      <c r="AP12" s="107">
        <f t="shared" si="11"/>
        <v>0</v>
      </c>
      <c r="AQ12" s="107">
        <f t="shared" si="12"/>
        <v>0</v>
      </c>
      <c r="AR12" s="123">
        <f t="shared" si="13"/>
        <v>0</v>
      </c>
      <c r="AS12" s="124">
        <f t="shared" si="14"/>
        <v>0</v>
      </c>
      <c r="AT12" s="124">
        <f t="shared" si="15"/>
        <v>0</v>
      </c>
      <c r="AU12" s="124">
        <f t="shared" si="16"/>
        <v>0</v>
      </c>
      <c r="AV12" s="117" t="s">
        <v>33</v>
      </c>
      <c r="AW12" s="129">
        <f>IF(($R$41=AV12)*AND($R$42&lt;&gt;""),VLOOKUP($R$42,'Barèmes police'!$N$4:$O$30,2),0)</f>
        <v>0</v>
      </c>
      <c r="AX12" s="16" t="str">
        <f>IF('Types de jours'!F18&lt;&gt;"",'Types de jours'!F18,"")</f>
        <v>Acc. de travail</v>
      </c>
      <c r="AY12" s="144">
        <f>IF(AX12&lt;&gt;"",'Types de jours'!I18,"")</f>
        <v>0.31666666666666665</v>
      </c>
      <c r="AZ12" s="269"/>
      <c r="BA12" s="154"/>
      <c r="BB12" s="154"/>
      <c r="BC12" s="154"/>
      <c r="BD12" s="154"/>
      <c r="BE12" s="154"/>
      <c r="BF12" s="154"/>
    </row>
    <row r="13" spans="1:58" ht="12.75" customHeight="1" x14ac:dyDescent="0.2">
      <c r="A13" s="34"/>
      <c r="B13" s="24" t="str">
        <f t="shared" si="0"/>
        <v>Di</v>
      </c>
      <c r="C13" s="25">
        <f t="shared" si="22"/>
        <v>45571</v>
      </c>
      <c r="D13" s="51"/>
      <c r="E13" s="116"/>
      <c r="F13" s="52"/>
      <c r="G13" s="53"/>
      <c r="H13" s="52"/>
      <c r="I13" s="53"/>
      <c r="J13" s="54"/>
      <c r="K13" s="55"/>
      <c r="L13" s="40">
        <f t="shared" si="1"/>
        <v>0</v>
      </c>
      <c r="M13" s="41">
        <f t="shared" si="23"/>
        <v>0</v>
      </c>
      <c r="N13" s="42">
        <f>IF(AND(D13&lt;&gt;"Jour libre 4/5",B13&lt;&gt;"Sa",B13&lt;&gt;"Di"),SUM(N12,Configuration!$H$41),SUM(N12))</f>
        <v>7.9166666666666625</v>
      </c>
      <c r="O13" s="49" t="str">
        <f t="shared" si="24"/>
        <v>-</v>
      </c>
      <c r="P13" s="143">
        <f t="shared" si="17"/>
        <v>7.9166666666666625</v>
      </c>
      <c r="Q13" s="167">
        <f t="shared" si="18"/>
        <v>0</v>
      </c>
      <c r="R13" s="168">
        <f t="shared" si="18"/>
        <v>0</v>
      </c>
      <c r="S13" s="168">
        <f t="shared" si="18"/>
        <v>0</v>
      </c>
      <c r="T13" s="169">
        <f t="shared" si="18"/>
        <v>0</v>
      </c>
      <c r="U13" s="97">
        <f t="shared" si="2"/>
        <v>0</v>
      </c>
      <c r="V13" s="97">
        <f t="shared" si="3"/>
        <v>0</v>
      </c>
      <c r="W13" s="97">
        <f t="shared" si="4"/>
        <v>0</v>
      </c>
      <c r="X13" s="97">
        <f t="shared" si="5"/>
        <v>0</v>
      </c>
      <c r="Y13" s="209"/>
      <c r="Z13" s="210"/>
      <c r="AA13" s="210"/>
      <c r="AB13" s="128">
        <f>IF(AND(D13="Jour férié semaine",((G13-F13)+(I13-H13)+(K13-J13)=0)),VLOOKUP(D13,Systeemgegevens!$J:$K,2,FALSE),0)</f>
        <v>0</v>
      </c>
      <c r="AC13" s="43">
        <f>IF(AND(NOT(ISERROR(FIND("Congé",D13))),ISERROR(FIND("1/2",D13)),ISERROR(FIND("Synd",D13)),ISERROR(FIND("synd",D13)),(G13-F13+I13-H13+K13-J13)=0),VLOOKUP(D13,Systeemgegevens!$J:$K,2,FALSE),IF(AND(NOT(ISERROR(FIND("1/2 Congé + ",D13))),(G13-F13+I13-H13+K13-J13)=0),VLOOKUP(D13,Systeemgegevens!$J:$K,2,FALSE)/2,IF(AND(NOT(ISERROR(FIND("1/2 Congé",D13))),ISERROR(FIND(" + ",D13)),ISERROR(FIND("1/2 Congé Synd.",D13))),VLOOKUP(D13,Systeemgegevens!$J:$K,2,FALSE),0)))</f>
        <v>0</v>
      </c>
      <c r="AD13" s="43">
        <f>IF(AND(OR(D13="1/2 Congé Synd.",D13="Congé Synd."),((G13-F13)+(I13-H13)+(K13-J13)=0)),VLOOKUP(D13,Systeemgegevens!$J:$K,2,FALSE),IF(AND(D13="1/2 Congé + 1/2 synd.",((G13-F13)+(I13-H13)+(K13-J13)=0)),AC13,0))</f>
        <v>0</v>
      </c>
      <c r="AE13" s="43">
        <f>IF(AND(D13="Jour de pont",((G13-F13)+(I13-H13)+(K13-J13)=0)),VLOOKUP(D13,Systeemgegevens!$J:$K,2,FALSE),0)</f>
        <v>0</v>
      </c>
      <c r="AF13" s="43">
        <f>IF(AND(D13="Jour libre 4/5",AND((G13-F13)+(I13-H13)+(K13-J13)=0)),VLOOKUP(D13,Systeemgegevens!$J:$K,2,FALSE),0)</f>
        <v>0</v>
      </c>
      <c r="AG13" s="118">
        <f>IF(AND(D13&lt;&gt;"",SUM(AB13:AF13)=0,D13&lt;&gt;$AB$4,D13&lt;&gt;$AC$4,D13&lt;&gt;$AE$4,D13&lt;&gt;$AF$4),VLOOKUP(D13,Systeemgegevens!$J:$K,2,FALSE),0)</f>
        <v>0</v>
      </c>
      <c r="AH13" s="119">
        <f t="shared" si="6"/>
        <v>0</v>
      </c>
      <c r="AI13" s="101">
        <f t="shared" si="7"/>
        <v>0</v>
      </c>
      <c r="AJ13" s="118">
        <f t="shared" si="19"/>
        <v>0</v>
      </c>
      <c r="AK13" s="119">
        <f t="shared" si="8"/>
        <v>0</v>
      </c>
      <c r="AL13" s="101">
        <f t="shared" si="9"/>
        <v>0</v>
      </c>
      <c r="AM13" s="43">
        <f t="shared" si="20"/>
        <v>0</v>
      </c>
      <c r="AN13" s="118">
        <f t="shared" si="21"/>
        <v>0</v>
      </c>
      <c r="AO13" s="122">
        <f t="shared" si="10"/>
        <v>0</v>
      </c>
      <c r="AP13" s="107">
        <f t="shared" si="11"/>
        <v>0</v>
      </c>
      <c r="AQ13" s="107">
        <f t="shared" si="12"/>
        <v>0</v>
      </c>
      <c r="AR13" s="123">
        <f t="shared" si="13"/>
        <v>0</v>
      </c>
      <c r="AS13" s="124">
        <f t="shared" si="14"/>
        <v>0</v>
      </c>
      <c r="AT13" s="124">
        <f t="shared" si="15"/>
        <v>0</v>
      </c>
      <c r="AU13" s="124">
        <f t="shared" si="16"/>
        <v>0</v>
      </c>
      <c r="AV13" s="117" t="s">
        <v>32</v>
      </c>
      <c r="AW13" s="129">
        <f>IF(($R$41=AV13)*AND($R$42&lt;&gt;""),VLOOKUP($R$42,'Barèmes police'!$Q$4:$R$30,2),0)</f>
        <v>0</v>
      </c>
      <c r="AX13" s="16" t="str">
        <f>IF('Types de jours'!F19&lt;&gt;"",'Types de jours'!F19,"")</f>
        <v>Congé Synd.</v>
      </c>
      <c r="AY13" s="144">
        <f>IF(AX13&lt;&gt;"",'Types de jours'!I19,"")</f>
        <v>0.31666666666666665</v>
      </c>
      <c r="AZ13" s="269"/>
      <c r="BA13" s="154"/>
      <c r="BB13" s="154"/>
      <c r="BC13" s="154"/>
      <c r="BD13" s="154"/>
      <c r="BE13" s="154"/>
      <c r="BF13" s="154"/>
    </row>
    <row r="14" spans="1:58" ht="12.75" customHeight="1" x14ac:dyDescent="0.2">
      <c r="A14" s="34"/>
      <c r="B14" s="24" t="str">
        <f t="shared" si="0"/>
        <v>Lu</v>
      </c>
      <c r="C14" s="25">
        <f t="shared" si="22"/>
        <v>45572</v>
      </c>
      <c r="D14" s="51"/>
      <c r="E14" s="116"/>
      <c r="F14" s="52"/>
      <c r="G14" s="53"/>
      <c r="H14" s="52"/>
      <c r="I14" s="53"/>
      <c r="J14" s="54"/>
      <c r="K14" s="55"/>
      <c r="L14" s="40">
        <f t="shared" si="1"/>
        <v>0</v>
      </c>
      <c r="M14" s="41">
        <f t="shared" si="23"/>
        <v>0</v>
      </c>
      <c r="N14" s="42">
        <f>IF(AND(D14&lt;&gt;"Jour libre 4/5",B14&lt;&gt;"Sa",B14&lt;&gt;"Di"),SUM(N13,Configuration!$H$41),SUM(N13))</f>
        <v>8.233333333333329</v>
      </c>
      <c r="O14" s="49" t="str">
        <f t="shared" si="24"/>
        <v>-</v>
      </c>
      <c r="P14" s="143">
        <f t="shared" si="17"/>
        <v>8.233333333333329</v>
      </c>
      <c r="Q14" s="167">
        <f t="shared" si="18"/>
        <v>0</v>
      </c>
      <c r="R14" s="168">
        <f t="shared" si="18"/>
        <v>0</v>
      </c>
      <c r="S14" s="168">
        <f t="shared" si="18"/>
        <v>0</v>
      </c>
      <c r="T14" s="169">
        <f t="shared" si="18"/>
        <v>0</v>
      </c>
      <c r="U14" s="97">
        <f t="shared" si="2"/>
        <v>0</v>
      </c>
      <c r="V14" s="97">
        <f t="shared" si="3"/>
        <v>0</v>
      </c>
      <c r="W14" s="97">
        <f t="shared" si="4"/>
        <v>0</v>
      </c>
      <c r="X14" s="97">
        <f t="shared" si="5"/>
        <v>0</v>
      </c>
      <c r="Y14" s="209"/>
      <c r="Z14" s="210"/>
      <c r="AA14" s="210"/>
      <c r="AB14" s="128">
        <f>IF(AND(D14="Jour férié semaine",((G14-F14)+(I14-H14)+(K14-J14)=0)),VLOOKUP(D14,Systeemgegevens!$J:$K,2,FALSE),0)</f>
        <v>0</v>
      </c>
      <c r="AC14" s="43">
        <f>IF(AND(NOT(ISERROR(FIND("Congé",D14))),ISERROR(FIND("1/2",D14)),ISERROR(FIND("Synd",D14)),ISERROR(FIND("synd",D14)),(G14-F14+I14-H14+K14-J14)=0),VLOOKUP(D14,Systeemgegevens!$J:$K,2,FALSE),IF(AND(NOT(ISERROR(FIND("1/2 Congé + ",D14))),(G14-F14+I14-H14+K14-J14)=0),VLOOKUP(D14,Systeemgegevens!$J:$K,2,FALSE)/2,IF(AND(NOT(ISERROR(FIND("1/2 Congé",D14))),ISERROR(FIND(" + ",D14)),ISERROR(FIND("1/2 Congé Synd.",D14))),VLOOKUP(D14,Systeemgegevens!$J:$K,2,FALSE),0)))</f>
        <v>0</v>
      </c>
      <c r="AD14" s="43">
        <f>IF(AND(OR(D14="1/2 Congé Synd.",D14="Congé Synd."),((G14-F14)+(I14-H14)+(K14-J14)=0)),VLOOKUP(D14,Systeemgegevens!$J:$K,2,FALSE),IF(AND(D14="1/2 Congé + 1/2 synd.",((G14-F14)+(I14-H14)+(K14-J14)=0)),AC14,0))</f>
        <v>0</v>
      </c>
      <c r="AE14" s="43">
        <f>IF(AND(D14="Jour de pont",((G14-F14)+(I14-H14)+(K14-J14)=0)),VLOOKUP(D14,Systeemgegevens!$J:$K,2,FALSE),0)</f>
        <v>0</v>
      </c>
      <c r="AF14" s="43">
        <f>IF(AND(D14="Jour libre 4/5",AND((G14-F14)+(I14-H14)+(K14-J14)=0)),VLOOKUP(D14,Systeemgegevens!$J:$K,2,FALSE),0)</f>
        <v>0</v>
      </c>
      <c r="AG14" s="118">
        <f>IF(AND(D14&lt;&gt;"",SUM(AB14:AF14)=0,D14&lt;&gt;$AB$4,D14&lt;&gt;$AC$4,D14&lt;&gt;$AE$4,D14&lt;&gt;$AF$4),VLOOKUP(D14,Systeemgegevens!$J:$K,2,FALSE),0)</f>
        <v>0</v>
      </c>
      <c r="AH14" s="119">
        <f t="shared" si="6"/>
        <v>0</v>
      </c>
      <c r="AI14" s="101">
        <f t="shared" si="7"/>
        <v>0</v>
      </c>
      <c r="AJ14" s="118">
        <f t="shared" si="19"/>
        <v>0</v>
      </c>
      <c r="AK14" s="119">
        <f t="shared" si="8"/>
        <v>0</v>
      </c>
      <c r="AL14" s="101">
        <f t="shared" si="9"/>
        <v>0</v>
      </c>
      <c r="AM14" s="43">
        <f t="shared" si="20"/>
        <v>0</v>
      </c>
      <c r="AN14" s="118">
        <f t="shared" si="21"/>
        <v>0</v>
      </c>
      <c r="AO14" s="122">
        <f t="shared" si="10"/>
        <v>0</v>
      </c>
      <c r="AP14" s="107">
        <f t="shared" si="11"/>
        <v>0</v>
      </c>
      <c r="AQ14" s="107">
        <f t="shared" si="12"/>
        <v>0</v>
      </c>
      <c r="AR14" s="123">
        <f t="shared" si="13"/>
        <v>0</v>
      </c>
      <c r="AS14" s="124">
        <f t="shared" si="14"/>
        <v>0</v>
      </c>
      <c r="AT14" s="124">
        <f t="shared" si="15"/>
        <v>0</v>
      </c>
      <c r="AU14" s="124">
        <f t="shared" si="16"/>
        <v>0</v>
      </c>
      <c r="AV14" s="117" t="s">
        <v>31</v>
      </c>
      <c r="AW14" s="129">
        <f>IF(($R$41=AV14)*AND($R$42&lt;&gt;""),VLOOKUP($R$42,'Barèmes police'!$T$4:$U$30,2),0)</f>
        <v>0</v>
      </c>
      <c r="AX14" s="16" t="str">
        <f>IF('Types de jours'!F20&lt;&gt;"",'Types de jours'!F20,"")</f>
        <v>1/2 Congé Synd.</v>
      </c>
      <c r="AY14" s="144">
        <f>IF(AX14&lt;&gt;"",'Types de jours'!I20,"")</f>
        <v>0.15833333333333333</v>
      </c>
      <c r="AZ14" s="269"/>
      <c r="BA14" s="154"/>
      <c r="BB14" s="154"/>
      <c r="BC14" s="154"/>
      <c r="BD14" s="154"/>
      <c r="BE14" s="154"/>
      <c r="BF14" s="154"/>
    </row>
    <row r="15" spans="1:58" ht="12.75" customHeight="1" x14ac:dyDescent="0.2">
      <c r="A15" s="34"/>
      <c r="B15" s="24" t="str">
        <f t="shared" si="0"/>
        <v>Ma</v>
      </c>
      <c r="C15" s="25">
        <f t="shared" si="22"/>
        <v>45573</v>
      </c>
      <c r="D15" s="51"/>
      <c r="E15" s="116"/>
      <c r="F15" s="52"/>
      <c r="G15" s="53"/>
      <c r="H15" s="52"/>
      <c r="I15" s="53"/>
      <c r="J15" s="54"/>
      <c r="K15" s="55"/>
      <c r="L15" s="40">
        <f t="shared" si="1"/>
        <v>0</v>
      </c>
      <c r="M15" s="41">
        <f t="shared" si="23"/>
        <v>0</v>
      </c>
      <c r="N15" s="42">
        <f>IF(AND(D15&lt;&gt;"Jour libre 4/5",B15&lt;&gt;"Sa",B15&lt;&gt;"Di"),SUM(N14,Configuration!$H$41),SUM(N14))</f>
        <v>8.5499999999999954</v>
      </c>
      <c r="O15" s="49" t="str">
        <f t="shared" si="24"/>
        <v>-</v>
      </c>
      <c r="P15" s="143">
        <f t="shared" si="17"/>
        <v>8.5499999999999954</v>
      </c>
      <c r="Q15" s="167">
        <f t="shared" si="18"/>
        <v>0</v>
      </c>
      <c r="R15" s="168">
        <f t="shared" si="18"/>
        <v>0</v>
      </c>
      <c r="S15" s="168">
        <f t="shared" si="18"/>
        <v>0</v>
      </c>
      <c r="T15" s="169">
        <f t="shared" si="18"/>
        <v>0</v>
      </c>
      <c r="U15" s="97">
        <f t="shared" si="2"/>
        <v>0</v>
      </c>
      <c r="V15" s="97">
        <f t="shared" si="3"/>
        <v>0</v>
      </c>
      <c r="W15" s="97">
        <f t="shared" si="4"/>
        <v>0</v>
      </c>
      <c r="X15" s="97">
        <f t="shared" si="5"/>
        <v>0</v>
      </c>
      <c r="Y15" s="209"/>
      <c r="Z15" s="210"/>
      <c r="AA15" s="210"/>
      <c r="AB15" s="128">
        <f>IF(AND(D15="Jour férié semaine",((G15-F15)+(I15-H15)+(K15-J15)=0)),VLOOKUP(D15,Systeemgegevens!$J:$K,2,FALSE),0)</f>
        <v>0</v>
      </c>
      <c r="AC15" s="43">
        <f>IF(AND(NOT(ISERROR(FIND("Congé",D15))),ISERROR(FIND("1/2",D15)),ISERROR(FIND("Synd",D15)),ISERROR(FIND("synd",D15)),(G15-F15+I15-H15+K15-J15)=0),VLOOKUP(D15,Systeemgegevens!$J:$K,2,FALSE),IF(AND(NOT(ISERROR(FIND("1/2 Congé + ",D15))),(G15-F15+I15-H15+K15-J15)=0),VLOOKUP(D15,Systeemgegevens!$J:$K,2,FALSE)/2,IF(AND(NOT(ISERROR(FIND("1/2 Congé",D15))),ISERROR(FIND(" + ",D15)),ISERROR(FIND("1/2 Congé Synd.",D15))),VLOOKUP(D15,Systeemgegevens!$J:$K,2,FALSE),0)))</f>
        <v>0</v>
      </c>
      <c r="AD15" s="43">
        <f>IF(AND(OR(D15="1/2 Congé Synd.",D15="Congé Synd."),((G15-F15)+(I15-H15)+(K15-J15)=0)),VLOOKUP(D15,Systeemgegevens!$J:$K,2,FALSE),IF(AND(D15="1/2 Congé + 1/2 synd.",((G15-F15)+(I15-H15)+(K15-J15)=0)),AC15,0))</f>
        <v>0</v>
      </c>
      <c r="AE15" s="43">
        <f>IF(AND(D15="Jour de pont",((G15-F15)+(I15-H15)+(K15-J15)=0)),VLOOKUP(D15,Systeemgegevens!$J:$K,2,FALSE),0)</f>
        <v>0</v>
      </c>
      <c r="AF15" s="43">
        <f>IF(AND(D15="Jour libre 4/5",AND((G15-F15)+(I15-H15)+(K15-J15)=0)),VLOOKUP(D15,Systeemgegevens!$J:$K,2,FALSE),0)</f>
        <v>0</v>
      </c>
      <c r="AG15" s="118">
        <f>IF(AND(D15&lt;&gt;"",SUM(AB15:AF15)=0,D15&lt;&gt;$AB$4,D15&lt;&gt;$AC$4,D15&lt;&gt;$AE$4,D15&lt;&gt;$AF$4),VLOOKUP(D15,Systeemgegevens!$J:$K,2,FALSE),0)</f>
        <v>0</v>
      </c>
      <c r="AH15" s="119">
        <f t="shared" si="6"/>
        <v>0</v>
      </c>
      <c r="AI15" s="101">
        <f t="shared" si="7"/>
        <v>0</v>
      </c>
      <c r="AJ15" s="118">
        <f t="shared" si="19"/>
        <v>0</v>
      </c>
      <c r="AK15" s="119">
        <f t="shared" si="8"/>
        <v>0</v>
      </c>
      <c r="AL15" s="101">
        <f t="shared" si="9"/>
        <v>0</v>
      </c>
      <c r="AM15" s="43">
        <f t="shared" si="20"/>
        <v>0</v>
      </c>
      <c r="AN15" s="118">
        <f t="shared" si="21"/>
        <v>0</v>
      </c>
      <c r="AO15" s="122">
        <f t="shared" si="10"/>
        <v>0</v>
      </c>
      <c r="AP15" s="107">
        <f t="shared" si="11"/>
        <v>0</v>
      </c>
      <c r="AQ15" s="107">
        <f t="shared" si="12"/>
        <v>0</v>
      </c>
      <c r="AR15" s="123">
        <f t="shared" si="13"/>
        <v>0</v>
      </c>
      <c r="AS15" s="124">
        <f t="shared" si="14"/>
        <v>0</v>
      </c>
      <c r="AT15" s="124">
        <f t="shared" si="15"/>
        <v>0</v>
      </c>
      <c r="AU15" s="124">
        <f t="shared" si="16"/>
        <v>0</v>
      </c>
      <c r="AV15" s="117" t="s">
        <v>30</v>
      </c>
      <c r="AW15" s="129">
        <f>IF(($R$41=AV15)*AND($R$42&lt;&gt;""),VLOOKUP($R$42,'Barèmes police'!$W$4:$X$30,2),0)</f>
        <v>0</v>
      </c>
      <c r="AX15" s="16" t="str">
        <f>IF('Types de jours'!F21&lt;&gt;"",'Types de jours'!F21,"")</f>
        <v>1/2 Congé + 1/2 synd.</v>
      </c>
      <c r="AY15" s="144">
        <f>IF(AX15&lt;&gt;"",'Types de jours'!I21,"")</f>
        <v>0.31666666666666665</v>
      </c>
      <c r="AZ15" s="269"/>
      <c r="BA15" s="154"/>
      <c r="BB15" s="154"/>
      <c r="BC15" s="154"/>
      <c r="BD15" s="154"/>
      <c r="BE15" s="154"/>
      <c r="BF15" s="154"/>
    </row>
    <row r="16" spans="1:58" ht="12.75" customHeight="1" x14ac:dyDescent="0.2">
      <c r="A16" s="34"/>
      <c r="B16" s="24" t="str">
        <f t="shared" si="0"/>
        <v>Me</v>
      </c>
      <c r="C16" s="25">
        <f t="shared" si="22"/>
        <v>45574</v>
      </c>
      <c r="D16" s="51"/>
      <c r="E16" s="116"/>
      <c r="F16" s="52"/>
      <c r="G16" s="53"/>
      <c r="H16" s="52"/>
      <c r="I16" s="53"/>
      <c r="J16" s="54"/>
      <c r="K16" s="55"/>
      <c r="L16" s="40">
        <f t="shared" si="1"/>
        <v>0</v>
      </c>
      <c r="M16" s="41">
        <f t="shared" si="23"/>
        <v>0</v>
      </c>
      <c r="N16" s="42">
        <f>IF(AND(D16&lt;&gt;"Jour libre 4/5",B16&lt;&gt;"Sa",B16&lt;&gt;"Di"),SUM(N15,Configuration!$H$41),SUM(N15))</f>
        <v>8.8666666666666618</v>
      </c>
      <c r="O16" s="49" t="str">
        <f t="shared" si="24"/>
        <v>-</v>
      </c>
      <c r="P16" s="143">
        <f t="shared" si="17"/>
        <v>8.8666666666666618</v>
      </c>
      <c r="Q16" s="167">
        <f t="shared" si="18"/>
        <v>0</v>
      </c>
      <c r="R16" s="168">
        <f t="shared" si="18"/>
        <v>0</v>
      </c>
      <c r="S16" s="168">
        <f t="shared" si="18"/>
        <v>0</v>
      </c>
      <c r="T16" s="169">
        <f t="shared" si="18"/>
        <v>0</v>
      </c>
      <c r="U16" s="97">
        <f t="shared" si="2"/>
        <v>0</v>
      </c>
      <c r="V16" s="97">
        <f t="shared" si="3"/>
        <v>0</v>
      </c>
      <c r="W16" s="97">
        <f t="shared" si="4"/>
        <v>0</v>
      </c>
      <c r="X16" s="97">
        <f t="shared" si="5"/>
        <v>0</v>
      </c>
      <c r="Y16" s="209"/>
      <c r="Z16" s="210"/>
      <c r="AA16" s="210"/>
      <c r="AB16" s="128">
        <f>IF(AND(D16="Jour férié semaine",((G16-F16)+(I16-H16)+(K16-J16)=0)),VLOOKUP(D16,Systeemgegevens!$J:$K,2,FALSE),0)</f>
        <v>0</v>
      </c>
      <c r="AC16" s="43">
        <f>IF(AND(NOT(ISERROR(FIND("Congé",D16))),ISERROR(FIND("1/2",D16)),ISERROR(FIND("Synd",D16)),ISERROR(FIND("synd",D16)),(G16-F16+I16-H16+K16-J16)=0),VLOOKUP(D16,Systeemgegevens!$J:$K,2,FALSE),IF(AND(NOT(ISERROR(FIND("1/2 Congé + ",D16))),(G16-F16+I16-H16+K16-J16)=0),VLOOKUP(D16,Systeemgegevens!$J:$K,2,FALSE)/2,IF(AND(NOT(ISERROR(FIND("1/2 Congé",D16))),ISERROR(FIND(" + ",D16)),ISERROR(FIND("1/2 Congé Synd.",D16))),VLOOKUP(D16,Systeemgegevens!$J:$K,2,FALSE),0)))</f>
        <v>0</v>
      </c>
      <c r="AD16" s="43">
        <f>IF(AND(OR(D16="1/2 Congé Synd.",D16="Congé Synd."),((G16-F16)+(I16-H16)+(K16-J16)=0)),VLOOKUP(D16,Systeemgegevens!$J:$K,2,FALSE),IF(AND(D16="1/2 Congé + 1/2 synd.",((G16-F16)+(I16-H16)+(K16-J16)=0)),AC16,0))</f>
        <v>0</v>
      </c>
      <c r="AE16" s="43">
        <f>IF(AND(D16="Jour de pont",((G16-F16)+(I16-H16)+(K16-J16)=0)),VLOOKUP(D16,Systeemgegevens!$J:$K,2,FALSE),0)</f>
        <v>0</v>
      </c>
      <c r="AF16" s="43">
        <f>IF(AND(D16="Jour libre 4/5",AND((G16-F16)+(I16-H16)+(K16-J16)=0)),VLOOKUP(D16,Systeemgegevens!$J:$K,2,FALSE),0)</f>
        <v>0</v>
      </c>
      <c r="AG16" s="118">
        <f>IF(AND(D16&lt;&gt;"",SUM(AB16:AF16)=0,D16&lt;&gt;$AB$4,D16&lt;&gt;$AC$4,D16&lt;&gt;$AE$4,D16&lt;&gt;$AF$4),VLOOKUP(D16,Systeemgegevens!$J:$K,2,FALSE),0)</f>
        <v>0</v>
      </c>
      <c r="AH16" s="119">
        <f t="shared" si="6"/>
        <v>0</v>
      </c>
      <c r="AI16" s="101">
        <f t="shared" si="7"/>
        <v>0</v>
      </c>
      <c r="AJ16" s="118">
        <f t="shared" si="19"/>
        <v>0</v>
      </c>
      <c r="AK16" s="119">
        <f t="shared" si="8"/>
        <v>0</v>
      </c>
      <c r="AL16" s="101">
        <f t="shared" si="9"/>
        <v>0</v>
      </c>
      <c r="AM16" s="43">
        <f t="shared" si="20"/>
        <v>0</v>
      </c>
      <c r="AN16" s="118">
        <f t="shared" si="21"/>
        <v>0</v>
      </c>
      <c r="AO16" s="122">
        <f t="shared" si="10"/>
        <v>0</v>
      </c>
      <c r="AP16" s="107">
        <f t="shared" si="11"/>
        <v>0</v>
      </c>
      <c r="AQ16" s="107">
        <f t="shared" si="12"/>
        <v>0</v>
      </c>
      <c r="AR16" s="123">
        <f t="shared" si="13"/>
        <v>0</v>
      </c>
      <c r="AS16" s="124">
        <f t="shared" si="14"/>
        <v>0</v>
      </c>
      <c r="AT16" s="124">
        <f t="shared" si="15"/>
        <v>0</v>
      </c>
      <c r="AU16" s="124">
        <f t="shared" si="16"/>
        <v>0</v>
      </c>
      <c r="AV16" s="117" t="s">
        <v>29</v>
      </c>
      <c r="AW16" s="129">
        <f>IF(($R$41=AV16)*AND($R$42&lt;&gt;""),VLOOKUP($R$42,'Barèmes police'!$Z$4:$AA$30,2),0)</f>
        <v>0</v>
      </c>
      <c r="AX16" s="16" t="str">
        <f>IF('Types de jours'!F22&lt;&gt;"",'Types de jours'!F22,"")</f>
        <v>Jour férié semaine</v>
      </c>
      <c r="AY16" s="144">
        <f>IF(AX16&lt;&gt;"",'Types de jours'!I22,"")</f>
        <v>0.31666666666666665</v>
      </c>
      <c r="AZ16" s="269"/>
      <c r="BA16" s="154"/>
      <c r="BB16" s="154"/>
      <c r="BC16" s="154"/>
      <c r="BD16" s="154"/>
      <c r="BE16" s="154"/>
      <c r="BF16" s="154"/>
    </row>
    <row r="17" spans="1:58" ht="12.75" customHeight="1" x14ac:dyDescent="0.2">
      <c r="A17" s="34"/>
      <c r="B17" s="24" t="str">
        <f t="shared" si="0"/>
        <v>Je</v>
      </c>
      <c r="C17" s="25">
        <f t="shared" si="22"/>
        <v>45575</v>
      </c>
      <c r="D17" s="51"/>
      <c r="E17" s="116"/>
      <c r="F17" s="52"/>
      <c r="G17" s="53"/>
      <c r="H17" s="52"/>
      <c r="I17" s="53"/>
      <c r="J17" s="54"/>
      <c r="K17" s="55"/>
      <c r="L17" s="40">
        <f t="shared" si="1"/>
        <v>0</v>
      </c>
      <c r="M17" s="41">
        <f t="shared" si="23"/>
        <v>0</v>
      </c>
      <c r="N17" s="42">
        <f>IF(AND(D17&lt;&gt;"Jour libre 4/5",B17&lt;&gt;"Sa",B17&lt;&gt;"Di"),SUM(N16,Configuration!$H$41),SUM(N16))</f>
        <v>9.1833333333333282</v>
      </c>
      <c r="O17" s="49" t="str">
        <f t="shared" si="24"/>
        <v>-</v>
      </c>
      <c r="P17" s="143">
        <f t="shared" si="17"/>
        <v>9.1833333333333282</v>
      </c>
      <c r="Q17" s="167">
        <f t="shared" si="18"/>
        <v>0</v>
      </c>
      <c r="R17" s="168">
        <f t="shared" si="18"/>
        <v>0</v>
      </c>
      <c r="S17" s="168">
        <f t="shared" si="18"/>
        <v>0</v>
      </c>
      <c r="T17" s="169">
        <f t="shared" si="18"/>
        <v>0</v>
      </c>
      <c r="U17" s="97">
        <f t="shared" si="2"/>
        <v>0</v>
      </c>
      <c r="V17" s="97">
        <f t="shared" si="3"/>
        <v>0</v>
      </c>
      <c r="W17" s="97">
        <f t="shared" si="4"/>
        <v>0</v>
      </c>
      <c r="X17" s="97">
        <f t="shared" si="5"/>
        <v>0</v>
      </c>
      <c r="Y17" s="209"/>
      <c r="Z17" s="210"/>
      <c r="AA17" s="210"/>
      <c r="AB17" s="128">
        <f>IF(AND(D17="Jour férié semaine",((G17-F17)+(I17-H17)+(K17-J17)=0)),VLOOKUP(D17,Systeemgegevens!$J:$K,2,FALSE),0)</f>
        <v>0</v>
      </c>
      <c r="AC17" s="43">
        <f>IF(AND(NOT(ISERROR(FIND("Congé",D17))),ISERROR(FIND("1/2",D17)),ISERROR(FIND("Synd",D17)),ISERROR(FIND("synd",D17)),(G17-F17+I17-H17+K17-J17)=0),VLOOKUP(D17,Systeemgegevens!$J:$K,2,FALSE),IF(AND(NOT(ISERROR(FIND("1/2 Congé + ",D17))),(G17-F17+I17-H17+K17-J17)=0),VLOOKUP(D17,Systeemgegevens!$J:$K,2,FALSE)/2,IF(AND(NOT(ISERROR(FIND("1/2 Congé",D17))),ISERROR(FIND(" + ",D17)),ISERROR(FIND("1/2 Congé Synd.",D17))),VLOOKUP(D17,Systeemgegevens!$J:$K,2,FALSE),0)))</f>
        <v>0</v>
      </c>
      <c r="AD17" s="43">
        <f>IF(AND(OR(D17="1/2 Congé Synd.",D17="Congé Synd."),((G17-F17)+(I17-H17)+(K17-J17)=0)),VLOOKUP(D17,Systeemgegevens!$J:$K,2,FALSE),IF(AND(D17="1/2 Congé + 1/2 synd.",((G17-F17)+(I17-H17)+(K17-J17)=0)),AC17,0))</f>
        <v>0</v>
      </c>
      <c r="AE17" s="43">
        <f>IF(AND(D17="Jour de pont",((G17-F17)+(I17-H17)+(K17-J17)=0)),VLOOKUP(D17,Systeemgegevens!$J:$K,2,FALSE),0)</f>
        <v>0</v>
      </c>
      <c r="AF17" s="43">
        <f>IF(AND(D17="Jour libre 4/5",AND((G17-F17)+(I17-H17)+(K17-J17)=0)),VLOOKUP(D17,Systeemgegevens!$J:$K,2,FALSE),0)</f>
        <v>0</v>
      </c>
      <c r="AG17" s="118">
        <f>IF(AND(D17&lt;&gt;"",SUM(AB17:AF17)=0,D17&lt;&gt;$AB$4,D17&lt;&gt;$AC$4,D17&lt;&gt;$AE$4,D17&lt;&gt;$AF$4),VLOOKUP(D17,Systeemgegevens!$J:$K,2,FALSE),0)</f>
        <v>0</v>
      </c>
      <c r="AH17" s="119">
        <f t="shared" si="6"/>
        <v>0</v>
      </c>
      <c r="AI17" s="101">
        <f t="shared" si="7"/>
        <v>0</v>
      </c>
      <c r="AJ17" s="118">
        <f t="shared" si="19"/>
        <v>0</v>
      </c>
      <c r="AK17" s="119">
        <f t="shared" si="8"/>
        <v>0</v>
      </c>
      <c r="AL17" s="101">
        <f t="shared" si="9"/>
        <v>0</v>
      </c>
      <c r="AM17" s="43">
        <f t="shared" si="20"/>
        <v>0</v>
      </c>
      <c r="AN17" s="118">
        <f t="shared" si="21"/>
        <v>0</v>
      </c>
      <c r="AO17" s="122">
        <f t="shared" si="10"/>
        <v>0</v>
      </c>
      <c r="AP17" s="107">
        <f t="shared" si="11"/>
        <v>0</v>
      </c>
      <c r="AQ17" s="107">
        <f t="shared" si="12"/>
        <v>0</v>
      </c>
      <c r="AR17" s="123">
        <f t="shared" si="13"/>
        <v>0</v>
      </c>
      <c r="AS17" s="124">
        <f t="shared" si="14"/>
        <v>0</v>
      </c>
      <c r="AT17" s="124">
        <f t="shared" si="15"/>
        <v>0</v>
      </c>
      <c r="AU17" s="124">
        <f t="shared" si="16"/>
        <v>0</v>
      </c>
      <c r="AV17" s="117" t="s">
        <v>28</v>
      </c>
      <c r="AW17" s="129">
        <f>IF(($R$41=AV17)*AND($R$42&lt;&gt;""),VLOOKUP($R$42,'Barèmes police'!$AC$4:$AD$30,2),0)</f>
        <v>0</v>
      </c>
      <c r="AX17" s="16" t="str">
        <f>IF('Types de jours'!F23&lt;&gt;"",'Types de jours'!F23,"")</f>
        <v>Jour libre 4/5</v>
      </c>
      <c r="AY17" s="144">
        <f>IF(AX17&lt;&gt;"",'Types de jours'!I23,"")</f>
        <v>0</v>
      </c>
      <c r="AZ17" s="269"/>
      <c r="BA17" s="154"/>
      <c r="BB17" s="154"/>
      <c r="BC17" s="154"/>
      <c r="BD17" s="154"/>
      <c r="BE17" s="154"/>
      <c r="BF17" s="154"/>
    </row>
    <row r="18" spans="1:58" ht="12.75" customHeight="1" x14ac:dyDescent="0.2">
      <c r="A18" s="34"/>
      <c r="B18" s="24" t="str">
        <f t="shared" si="0"/>
        <v>Ve</v>
      </c>
      <c r="C18" s="25">
        <f t="shared" si="22"/>
        <v>45576</v>
      </c>
      <c r="D18" s="51"/>
      <c r="E18" s="116"/>
      <c r="F18" s="52"/>
      <c r="G18" s="53"/>
      <c r="H18" s="52"/>
      <c r="I18" s="53"/>
      <c r="J18" s="54"/>
      <c r="K18" s="55"/>
      <c r="L18" s="40">
        <f t="shared" si="1"/>
        <v>0</v>
      </c>
      <c r="M18" s="41">
        <f t="shared" si="23"/>
        <v>0</v>
      </c>
      <c r="N18" s="42">
        <f>IF(AND(D18&lt;&gt;"Jour libre 4/5",B18&lt;&gt;"Sa",B18&lt;&gt;"Di"),SUM(N17,Configuration!$H$41),SUM(N17))</f>
        <v>9.4999999999999947</v>
      </c>
      <c r="O18" s="49" t="str">
        <f t="shared" si="24"/>
        <v>-</v>
      </c>
      <c r="P18" s="143">
        <f t="shared" si="17"/>
        <v>9.4999999999999947</v>
      </c>
      <c r="Q18" s="167">
        <f t="shared" si="18"/>
        <v>0</v>
      </c>
      <c r="R18" s="168">
        <f t="shared" si="18"/>
        <v>0</v>
      </c>
      <c r="S18" s="168">
        <f t="shared" si="18"/>
        <v>0</v>
      </c>
      <c r="T18" s="169">
        <f t="shared" si="18"/>
        <v>0</v>
      </c>
      <c r="U18" s="97">
        <f t="shared" si="2"/>
        <v>0</v>
      </c>
      <c r="V18" s="97">
        <f t="shared" si="3"/>
        <v>0</v>
      </c>
      <c r="W18" s="97">
        <f t="shared" si="4"/>
        <v>0</v>
      </c>
      <c r="X18" s="97">
        <f t="shared" si="5"/>
        <v>0</v>
      </c>
      <c r="Y18" s="209"/>
      <c r="Z18" s="210"/>
      <c r="AA18" s="210"/>
      <c r="AB18" s="128">
        <f>IF(AND(D18="Jour férié semaine",((G18-F18)+(I18-H18)+(K18-J18)=0)),VLOOKUP(D18,Systeemgegevens!$J:$K,2,FALSE),0)</f>
        <v>0</v>
      </c>
      <c r="AC18" s="43">
        <f>IF(AND(NOT(ISERROR(FIND("Congé",D18))),ISERROR(FIND("1/2",D18)),ISERROR(FIND("Synd",D18)),ISERROR(FIND("synd",D18)),(G18-F18+I18-H18+K18-J18)=0),VLOOKUP(D18,Systeemgegevens!$J:$K,2,FALSE),IF(AND(NOT(ISERROR(FIND("1/2 Congé + ",D18))),(G18-F18+I18-H18+K18-J18)=0),VLOOKUP(D18,Systeemgegevens!$J:$K,2,FALSE)/2,IF(AND(NOT(ISERROR(FIND("1/2 Congé",D18))),ISERROR(FIND(" + ",D18)),ISERROR(FIND("1/2 Congé Synd.",D18))),VLOOKUP(D18,Systeemgegevens!$J:$K,2,FALSE),0)))</f>
        <v>0</v>
      </c>
      <c r="AD18" s="43">
        <f>IF(AND(OR(D18="1/2 Congé Synd.",D18="Congé Synd."),((G18-F18)+(I18-H18)+(K18-J18)=0)),VLOOKUP(D18,Systeemgegevens!$J:$K,2,FALSE),IF(AND(D18="1/2 Congé + 1/2 synd.",((G18-F18)+(I18-H18)+(K18-J18)=0)),AC18,0))</f>
        <v>0</v>
      </c>
      <c r="AE18" s="43">
        <f>IF(AND(D18="Jour de pont",((G18-F18)+(I18-H18)+(K18-J18)=0)),VLOOKUP(D18,Systeemgegevens!$J:$K,2,FALSE),0)</f>
        <v>0</v>
      </c>
      <c r="AF18" s="43">
        <f>IF(AND(D18="Jour libre 4/5",AND((G18-F18)+(I18-H18)+(K18-J18)=0)),VLOOKUP(D18,Systeemgegevens!$J:$K,2,FALSE),0)</f>
        <v>0</v>
      </c>
      <c r="AG18" s="118">
        <f>IF(AND(D18&lt;&gt;"",SUM(AB18:AF18)=0,D18&lt;&gt;$AB$4,D18&lt;&gt;$AC$4,D18&lt;&gt;$AE$4,D18&lt;&gt;$AF$4),VLOOKUP(D18,Systeemgegevens!$J:$K,2,FALSE),0)</f>
        <v>0</v>
      </c>
      <c r="AH18" s="119">
        <f t="shared" si="6"/>
        <v>0</v>
      </c>
      <c r="AI18" s="101">
        <f t="shared" si="7"/>
        <v>0</v>
      </c>
      <c r="AJ18" s="118">
        <f t="shared" si="19"/>
        <v>0</v>
      </c>
      <c r="AK18" s="119">
        <f t="shared" si="8"/>
        <v>0</v>
      </c>
      <c r="AL18" s="101">
        <f t="shared" si="9"/>
        <v>0</v>
      </c>
      <c r="AM18" s="43">
        <f t="shared" si="20"/>
        <v>0</v>
      </c>
      <c r="AN18" s="118">
        <f t="shared" si="21"/>
        <v>0</v>
      </c>
      <c r="AO18" s="122">
        <f t="shared" si="10"/>
        <v>0</v>
      </c>
      <c r="AP18" s="107">
        <f t="shared" si="11"/>
        <v>0</v>
      </c>
      <c r="AQ18" s="107">
        <f t="shared" si="12"/>
        <v>0</v>
      </c>
      <c r="AR18" s="123">
        <f t="shared" si="13"/>
        <v>0</v>
      </c>
      <c r="AS18" s="124">
        <f t="shared" si="14"/>
        <v>0</v>
      </c>
      <c r="AT18" s="124">
        <f t="shared" si="15"/>
        <v>0</v>
      </c>
      <c r="AU18" s="124">
        <f t="shared" si="16"/>
        <v>0</v>
      </c>
      <c r="AV18" s="117" t="s">
        <v>27</v>
      </c>
      <c r="AW18" s="129">
        <f>IF(($R$41=AV18)*AND($R$42&lt;&gt;""),VLOOKUP($R$42,'Barèmes police'!$AF$4:$AG$30,2),0)</f>
        <v>0</v>
      </c>
      <c r="AX18" s="16" t="str">
        <f>IF('Types de jours'!F24&lt;&gt;"",'Types de jours'!F24,"")</f>
        <v>Jour de pont</v>
      </c>
      <c r="AY18" s="144">
        <f>IF(AX18&lt;&gt;"",'Types de jours'!I24,"")</f>
        <v>0.31666666666666665</v>
      </c>
      <c r="AZ18" s="269"/>
      <c r="BA18" s="154"/>
      <c r="BB18" s="154"/>
      <c r="BC18" s="154"/>
      <c r="BD18" s="154"/>
      <c r="BE18" s="154"/>
      <c r="BF18" s="154"/>
    </row>
    <row r="19" spans="1:58" ht="12.75" customHeight="1" x14ac:dyDescent="0.2">
      <c r="A19" s="34"/>
      <c r="B19" s="24" t="str">
        <f t="shared" si="0"/>
        <v>Sa</v>
      </c>
      <c r="C19" s="25">
        <f t="shared" si="22"/>
        <v>45577</v>
      </c>
      <c r="D19" s="51"/>
      <c r="E19" s="116"/>
      <c r="F19" s="52"/>
      <c r="G19" s="53"/>
      <c r="H19" s="52"/>
      <c r="I19" s="53"/>
      <c r="J19" s="54"/>
      <c r="K19" s="55"/>
      <c r="L19" s="40">
        <f t="shared" si="1"/>
        <v>0</v>
      </c>
      <c r="M19" s="41">
        <f t="shared" si="23"/>
        <v>0</v>
      </c>
      <c r="N19" s="42">
        <f>IF(AND(D19&lt;&gt;"Jour libre 4/5",B19&lt;&gt;"Sa",B19&lt;&gt;"Di"),SUM(N18,Configuration!$H$41),SUM(N18))</f>
        <v>9.4999999999999947</v>
      </c>
      <c r="O19" s="49" t="str">
        <f t="shared" si="24"/>
        <v>-</v>
      </c>
      <c r="P19" s="143">
        <f t="shared" si="17"/>
        <v>9.4999999999999947</v>
      </c>
      <c r="Q19" s="167">
        <f t="shared" si="18"/>
        <v>0</v>
      </c>
      <c r="R19" s="168">
        <f t="shared" si="18"/>
        <v>0</v>
      </c>
      <c r="S19" s="168">
        <f t="shared" si="18"/>
        <v>0</v>
      </c>
      <c r="T19" s="169">
        <f t="shared" si="18"/>
        <v>0</v>
      </c>
      <c r="U19" s="97">
        <f t="shared" si="2"/>
        <v>0</v>
      </c>
      <c r="V19" s="97">
        <f t="shared" si="3"/>
        <v>0</v>
      </c>
      <c r="W19" s="97">
        <f t="shared" si="4"/>
        <v>0</v>
      </c>
      <c r="X19" s="97">
        <f t="shared" si="5"/>
        <v>0</v>
      </c>
      <c r="Y19" s="209"/>
      <c r="Z19" s="210"/>
      <c r="AA19" s="210"/>
      <c r="AB19" s="128">
        <f>IF(AND(D19="Jour férié semaine",((G19-F19)+(I19-H19)+(K19-J19)=0)),VLOOKUP(D19,Systeemgegevens!$J:$K,2,FALSE),0)</f>
        <v>0</v>
      </c>
      <c r="AC19" s="43">
        <f>IF(AND(NOT(ISERROR(FIND("Congé",D19))),ISERROR(FIND("1/2",D19)),ISERROR(FIND("Synd",D19)),ISERROR(FIND("synd",D19)),(G19-F19+I19-H19+K19-J19)=0),VLOOKUP(D19,Systeemgegevens!$J:$K,2,FALSE),IF(AND(NOT(ISERROR(FIND("1/2 Congé + ",D19))),(G19-F19+I19-H19+K19-J19)=0),VLOOKUP(D19,Systeemgegevens!$J:$K,2,FALSE)/2,IF(AND(NOT(ISERROR(FIND("1/2 Congé",D19))),ISERROR(FIND(" + ",D19)),ISERROR(FIND("1/2 Congé Synd.",D19))),VLOOKUP(D19,Systeemgegevens!$J:$K,2,FALSE),0)))</f>
        <v>0</v>
      </c>
      <c r="AD19" s="43">
        <f>IF(AND(OR(D19="1/2 Congé Synd.",D19="Congé Synd."),((G19-F19)+(I19-H19)+(K19-J19)=0)),VLOOKUP(D19,Systeemgegevens!$J:$K,2,FALSE),IF(AND(D19="1/2 Congé + 1/2 synd.",((G19-F19)+(I19-H19)+(K19-J19)=0)),AC19,0))</f>
        <v>0</v>
      </c>
      <c r="AE19" s="43">
        <f>IF(AND(D19="Jour de pont",((G19-F19)+(I19-H19)+(K19-J19)=0)),VLOOKUP(D19,Systeemgegevens!$J:$K,2,FALSE),0)</f>
        <v>0</v>
      </c>
      <c r="AF19" s="43">
        <f>IF(AND(D19="Jour libre 4/5",AND((G19-F19)+(I19-H19)+(K19-J19)=0)),VLOOKUP(D19,Systeemgegevens!$J:$K,2,FALSE),0)</f>
        <v>0</v>
      </c>
      <c r="AG19" s="118">
        <f>IF(AND(D19&lt;&gt;"",SUM(AB19:AF19)=0,D19&lt;&gt;$AB$4,D19&lt;&gt;$AC$4,D19&lt;&gt;$AE$4,D19&lt;&gt;$AF$4),VLOOKUP(D19,Systeemgegevens!$J:$K,2,FALSE),0)</f>
        <v>0</v>
      </c>
      <c r="AH19" s="119">
        <f t="shared" si="6"/>
        <v>0</v>
      </c>
      <c r="AI19" s="101">
        <f t="shared" si="7"/>
        <v>0</v>
      </c>
      <c r="AJ19" s="118">
        <f t="shared" si="19"/>
        <v>0</v>
      </c>
      <c r="AK19" s="119">
        <f t="shared" si="8"/>
        <v>0</v>
      </c>
      <c r="AL19" s="101">
        <f t="shared" si="9"/>
        <v>0</v>
      </c>
      <c r="AM19" s="43">
        <f t="shared" si="20"/>
        <v>0</v>
      </c>
      <c r="AN19" s="118">
        <f t="shared" si="21"/>
        <v>0</v>
      </c>
      <c r="AO19" s="122">
        <f t="shared" si="10"/>
        <v>0</v>
      </c>
      <c r="AP19" s="107">
        <f t="shared" si="11"/>
        <v>0</v>
      </c>
      <c r="AQ19" s="107">
        <f t="shared" si="12"/>
        <v>0</v>
      </c>
      <c r="AR19" s="123">
        <f t="shared" si="13"/>
        <v>0</v>
      </c>
      <c r="AS19" s="124">
        <f t="shared" si="14"/>
        <v>0</v>
      </c>
      <c r="AT19" s="124">
        <f t="shared" si="15"/>
        <v>0</v>
      </c>
      <c r="AU19" s="124">
        <f t="shared" si="16"/>
        <v>0</v>
      </c>
      <c r="AV19" s="117" t="s">
        <v>26</v>
      </c>
      <c r="AW19" s="129">
        <f>IF(($R$41=AV19)*AND($R$42&lt;&gt;""),VLOOKUP($R$42,'Barèmes police'!$AI$4:$AJ$30,2),0)</f>
        <v>0</v>
      </c>
      <c r="AX19" s="16" t="str">
        <f>IF('Types de jours'!F25&lt;&gt;"",'Types de jours'!F25,"")</f>
        <v>Congé 12h</v>
      </c>
      <c r="AY19" s="144">
        <f>IF(AX19&lt;&gt;"",'Types de jours'!I25,"")</f>
        <v>0.5</v>
      </c>
      <c r="AZ19" s="269"/>
      <c r="BA19" s="154"/>
      <c r="BB19" s="154"/>
      <c r="BC19" s="154"/>
      <c r="BD19" s="154"/>
      <c r="BE19" s="154"/>
      <c r="BF19" s="154"/>
    </row>
    <row r="20" spans="1:58" ht="12.75" customHeight="1" x14ac:dyDescent="0.2">
      <c r="A20" s="34"/>
      <c r="B20" s="24" t="str">
        <f t="shared" si="0"/>
        <v>Di</v>
      </c>
      <c r="C20" s="25">
        <f t="shared" si="22"/>
        <v>45578</v>
      </c>
      <c r="D20" s="51"/>
      <c r="E20" s="116"/>
      <c r="F20" s="52"/>
      <c r="G20" s="53"/>
      <c r="H20" s="52"/>
      <c r="I20" s="53"/>
      <c r="J20" s="54"/>
      <c r="K20" s="55"/>
      <c r="L20" s="40">
        <f t="shared" si="1"/>
        <v>0</v>
      </c>
      <c r="M20" s="41">
        <f t="shared" si="23"/>
        <v>0</v>
      </c>
      <c r="N20" s="42">
        <f>IF(AND(D20&lt;&gt;"Jour libre 4/5",B20&lt;&gt;"Sa",B20&lt;&gt;"Di"),SUM(N19,Configuration!$H$41),SUM(N19))</f>
        <v>9.4999999999999947</v>
      </c>
      <c r="O20" s="49" t="str">
        <f t="shared" si="24"/>
        <v>-</v>
      </c>
      <c r="P20" s="143">
        <f t="shared" si="17"/>
        <v>9.4999999999999947</v>
      </c>
      <c r="Q20" s="167">
        <f t="shared" si="18"/>
        <v>0</v>
      </c>
      <c r="R20" s="168">
        <f t="shared" si="18"/>
        <v>0</v>
      </c>
      <c r="S20" s="168">
        <f t="shared" si="18"/>
        <v>0</v>
      </c>
      <c r="T20" s="169">
        <f t="shared" si="18"/>
        <v>0</v>
      </c>
      <c r="U20" s="97">
        <f t="shared" si="2"/>
        <v>0</v>
      </c>
      <c r="V20" s="97">
        <f t="shared" si="3"/>
        <v>0</v>
      </c>
      <c r="W20" s="97">
        <f t="shared" si="4"/>
        <v>0</v>
      </c>
      <c r="X20" s="97">
        <f t="shared" si="5"/>
        <v>0</v>
      </c>
      <c r="Y20" s="209"/>
      <c r="Z20" s="210"/>
      <c r="AA20" s="210"/>
      <c r="AB20" s="128">
        <f>IF(AND(D20="Jour férié semaine",((G20-F20)+(I20-H20)+(K20-J20)=0)),VLOOKUP(D20,Systeemgegevens!$J:$K,2,FALSE),0)</f>
        <v>0</v>
      </c>
      <c r="AC20" s="43">
        <f>IF(AND(NOT(ISERROR(FIND("Congé",D20))),ISERROR(FIND("1/2",D20)),ISERROR(FIND("Synd",D20)),ISERROR(FIND("synd",D20)),(G20-F20+I20-H20+K20-J20)=0),VLOOKUP(D20,Systeemgegevens!$J:$K,2,FALSE),IF(AND(NOT(ISERROR(FIND("1/2 Congé + ",D20))),(G20-F20+I20-H20+K20-J20)=0),VLOOKUP(D20,Systeemgegevens!$J:$K,2,FALSE)/2,IF(AND(NOT(ISERROR(FIND("1/2 Congé",D20))),ISERROR(FIND(" + ",D20)),ISERROR(FIND("1/2 Congé Synd.",D20))),VLOOKUP(D20,Systeemgegevens!$J:$K,2,FALSE),0)))</f>
        <v>0</v>
      </c>
      <c r="AD20" s="43">
        <f>IF(AND(OR(D20="1/2 Congé Synd.",D20="Congé Synd."),((G20-F20)+(I20-H20)+(K20-J20)=0)),VLOOKUP(D20,Systeemgegevens!$J:$K,2,FALSE),IF(AND(D20="1/2 Congé + 1/2 synd.",((G20-F20)+(I20-H20)+(K20-J20)=0)),AC20,0))</f>
        <v>0</v>
      </c>
      <c r="AE20" s="43">
        <f>IF(AND(D20="Jour de pont",((G20-F20)+(I20-H20)+(K20-J20)=0)),VLOOKUP(D20,Systeemgegevens!$J:$K,2,FALSE),0)</f>
        <v>0</v>
      </c>
      <c r="AF20" s="43">
        <f>IF(AND(D20="Jour libre 4/5",AND((G20-F20)+(I20-H20)+(K20-J20)=0)),VLOOKUP(D20,Systeemgegevens!$J:$K,2,FALSE),0)</f>
        <v>0</v>
      </c>
      <c r="AG20" s="118">
        <f>IF(AND(D20&lt;&gt;"",SUM(AB20:AF20)=0,D20&lt;&gt;$AB$4,D20&lt;&gt;$AC$4,D20&lt;&gt;$AE$4,D20&lt;&gt;$AF$4),VLOOKUP(D20,Systeemgegevens!$J:$K,2,FALSE),0)</f>
        <v>0</v>
      </c>
      <c r="AH20" s="119">
        <f t="shared" si="6"/>
        <v>0</v>
      </c>
      <c r="AI20" s="101">
        <f t="shared" si="7"/>
        <v>0</v>
      </c>
      <c r="AJ20" s="118">
        <f t="shared" si="19"/>
        <v>0</v>
      </c>
      <c r="AK20" s="119">
        <f t="shared" si="8"/>
        <v>0</v>
      </c>
      <c r="AL20" s="101">
        <f t="shared" si="9"/>
        <v>0</v>
      </c>
      <c r="AM20" s="43">
        <f t="shared" si="20"/>
        <v>0</v>
      </c>
      <c r="AN20" s="118">
        <f t="shared" si="21"/>
        <v>0</v>
      </c>
      <c r="AO20" s="122">
        <f t="shared" si="10"/>
        <v>0</v>
      </c>
      <c r="AP20" s="107">
        <f t="shared" si="11"/>
        <v>0</v>
      </c>
      <c r="AQ20" s="107">
        <f t="shared" si="12"/>
        <v>0</v>
      </c>
      <c r="AR20" s="123">
        <f t="shared" si="13"/>
        <v>0</v>
      </c>
      <c r="AS20" s="124">
        <f t="shared" si="14"/>
        <v>0</v>
      </c>
      <c r="AT20" s="124">
        <f t="shared" si="15"/>
        <v>0</v>
      </c>
      <c r="AU20" s="124">
        <f t="shared" si="16"/>
        <v>0</v>
      </c>
      <c r="AV20" s="117" t="s">
        <v>25</v>
      </c>
      <c r="AW20" s="129">
        <f>IF(($R$41=AV20)*AND($R$42&lt;&gt;""),VLOOKUP($R$42,'Barèmes police'!$AL$4:$AM$30,2),0)</f>
        <v>0</v>
      </c>
      <c r="AX20" s="16" t="str">
        <f>IF('Types de jours'!F26&lt;&gt;"",'Types de jours'!F26,"")</f>
        <v/>
      </c>
      <c r="AY20" s="144" t="str">
        <f>IF(AX20&lt;&gt;"",'Types de jours'!I26,"")</f>
        <v/>
      </c>
      <c r="AZ20" s="269"/>
      <c r="BA20" s="154"/>
      <c r="BB20" s="154"/>
      <c r="BC20" s="154"/>
      <c r="BD20" s="154"/>
      <c r="BE20" s="154"/>
      <c r="BF20" s="154"/>
    </row>
    <row r="21" spans="1:58" ht="12.75" customHeight="1" x14ac:dyDescent="0.2">
      <c r="A21" s="34"/>
      <c r="B21" s="24" t="str">
        <f t="shared" si="0"/>
        <v>Lu</v>
      </c>
      <c r="C21" s="25">
        <f t="shared" si="22"/>
        <v>45579</v>
      </c>
      <c r="D21" s="51"/>
      <c r="E21" s="116"/>
      <c r="F21" s="52"/>
      <c r="G21" s="53"/>
      <c r="H21" s="52"/>
      <c r="I21" s="53"/>
      <c r="J21" s="54"/>
      <c r="K21" s="55"/>
      <c r="L21" s="40">
        <f t="shared" si="1"/>
        <v>0</v>
      </c>
      <c r="M21" s="41">
        <f t="shared" si="23"/>
        <v>0</v>
      </c>
      <c r="N21" s="42">
        <f>IF(AND(D21&lt;&gt;"Jour libre 4/5",B21&lt;&gt;"Sa",B21&lt;&gt;"Di"),SUM(N20,Configuration!$H$41),SUM(N20))</f>
        <v>9.8166666666666611</v>
      </c>
      <c r="O21" s="49" t="str">
        <f t="shared" si="24"/>
        <v>-</v>
      </c>
      <c r="P21" s="143">
        <f t="shared" si="17"/>
        <v>9.8166666666666611</v>
      </c>
      <c r="Q21" s="167">
        <f t="shared" si="18"/>
        <v>0</v>
      </c>
      <c r="R21" s="168">
        <f t="shared" si="18"/>
        <v>0</v>
      </c>
      <c r="S21" s="168">
        <f t="shared" si="18"/>
        <v>0</v>
      </c>
      <c r="T21" s="169">
        <f t="shared" si="18"/>
        <v>0</v>
      </c>
      <c r="U21" s="97">
        <f t="shared" si="2"/>
        <v>0</v>
      </c>
      <c r="V21" s="97">
        <f t="shared" si="3"/>
        <v>0</v>
      </c>
      <c r="W21" s="97">
        <f t="shared" si="4"/>
        <v>0</v>
      </c>
      <c r="X21" s="97">
        <f t="shared" si="5"/>
        <v>0</v>
      </c>
      <c r="Y21" s="209"/>
      <c r="Z21" s="210"/>
      <c r="AA21" s="210"/>
      <c r="AB21" s="128">
        <f>IF(AND(D21="Jour férié semaine",((G21-F21)+(I21-H21)+(K21-J21)=0)),VLOOKUP(D21,Systeemgegevens!$J:$K,2,FALSE),0)</f>
        <v>0</v>
      </c>
      <c r="AC21" s="43">
        <f>IF(AND(NOT(ISERROR(FIND("Congé",D21))),ISERROR(FIND("1/2",D21)),ISERROR(FIND("Synd",D21)),ISERROR(FIND("synd",D21)),(G21-F21+I21-H21+K21-J21)=0),VLOOKUP(D21,Systeemgegevens!$J:$K,2,FALSE),IF(AND(NOT(ISERROR(FIND("1/2 Congé + ",D21))),(G21-F21+I21-H21+K21-J21)=0),VLOOKUP(D21,Systeemgegevens!$J:$K,2,FALSE)/2,IF(AND(NOT(ISERROR(FIND("1/2 Congé",D21))),ISERROR(FIND(" + ",D21)),ISERROR(FIND("1/2 Congé Synd.",D21))),VLOOKUP(D21,Systeemgegevens!$J:$K,2,FALSE),0)))</f>
        <v>0</v>
      </c>
      <c r="AD21" s="43">
        <f>IF(AND(OR(D21="1/2 Congé Synd.",D21="Congé Synd."),((G21-F21)+(I21-H21)+(K21-J21)=0)),VLOOKUP(D21,Systeemgegevens!$J:$K,2,FALSE),IF(AND(D21="1/2 Congé + 1/2 synd.",((G21-F21)+(I21-H21)+(K21-J21)=0)),AC21,0))</f>
        <v>0</v>
      </c>
      <c r="AE21" s="43">
        <f>IF(AND(D21="Jour de pont",((G21-F21)+(I21-H21)+(K21-J21)=0)),VLOOKUP(D21,Systeemgegevens!$J:$K,2,FALSE),0)</f>
        <v>0</v>
      </c>
      <c r="AF21" s="43">
        <f>IF(AND(D21="Jour libre 4/5",AND((G21-F21)+(I21-H21)+(K21-J21)=0)),VLOOKUP(D21,Systeemgegevens!$J:$K,2,FALSE),0)</f>
        <v>0</v>
      </c>
      <c r="AG21" s="118">
        <f>IF(AND(D21&lt;&gt;"",SUM(AB21:AF21)=0,D21&lt;&gt;$AB$4,D21&lt;&gt;$AC$4,D21&lt;&gt;$AE$4,D21&lt;&gt;$AF$4),VLOOKUP(D21,Systeemgegevens!$J:$K,2,FALSE),0)</f>
        <v>0</v>
      </c>
      <c r="AH21" s="119">
        <f t="shared" si="6"/>
        <v>0</v>
      </c>
      <c r="AI21" s="101">
        <f t="shared" si="7"/>
        <v>0</v>
      </c>
      <c r="AJ21" s="118">
        <f t="shared" si="19"/>
        <v>0</v>
      </c>
      <c r="AK21" s="119">
        <f t="shared" si="8"/>
        <v>0</v>
      </c>
      <c r="AL21" s="101">
        <f t="shared" si="9"/>
        <v>0</v>
      </c>
      <c r="AM21" s="43">
        <f t="shared" si="20"/>
        <v>0</v>
      </c>
      <c r="AN21" s="118">
        <f t="shared" si="21"/>
        <v>0</v>
      </c>
      <c r="AO21" s="122">
        <f t="shared" si="10"/>
        <v>0</v>
      </c>
      <c r="AP21" s="107">
        <f t="shared" si="11"/>
        <v>0</v>
      </c>
      <c r="AQ21" s="107">
        <f t="shared" si="12"/>
        <v>0</v>
      </c>
      <c r="AR21" s="123">
        <f t="shared" si="13"/>
        <v>0</v>
      </c>
      <c r="AS21" s="124">
        <f t="shared" si="14"/>
        <v>0</v>
      </c>
      <c r="AT21" s="124">
        <f t="shared" si="15"/>
        <v>0</v>
      </c>
      <c r="AU21" s="124">
        <f t="shared" si="16"/>
        <v>0</v>
      </c>
      <c r="AV21" s="117" t="s">
        <v>24</v>
      </c>
      <c r="AW21" s="129">
        <f>IF(($R$41=AV21)*AND($R$42&lt;&gt;""),VLOOKUP($R$42,'Barèmes police'!$AO$4:$AP$30,2),0)</f>
        <v>0</v>
      </c>
      <c r="AX21" s="16" t="str">
        <f>IF('Types de jours'!F27&lt;&gt;"",'Types de jours'!F27,"")</f>
        <v/>
      </c>
      <c r="AY21" s="144" t="str">
        <f>IF(AX21&lt;&gt;"",'Types de jours'!I27,"")</f>
        <v/>
      </c>
      <c r="AZ21" s="269"/>
      <c r="BA21" s="154"/>
      <c r="BB21" s="154"/>
      <c r="BC21" s="154"/>
      <c r="BD21" s="154"/>
      <c r="BE21" s="154"/>
      <c r="BF21" s="154"/>
    </row>
    <row r="22" spans="1:58" ht="12.75" customHeight="1" x14ac:dyDescent="0.2">
      <c r="A22" s="34"/>
      <c r="B22" s="24" t="str">
        <f t="shared" si="0"/>
        <v>Ma</v>
      </c>
      <c r="C22" s="25">
        <f t="shared" si="22"/>
        <v>45580</v>
      </c>
      <c r="D22" s="51"/>
      <c r="E22" s="116"/>
      <c r="F22" s="52"/>
      <c r="G22" s="53"/>
      <c r="H22" s="52"/>
      <c r="I22" s="53"/>
      <c r="J22" s="54"/>
      <c r="K22" s="55"/>
      <c r="L22" s="40">
        <f t="shared" si="1"/>
        <v>0</v>
      </c>
      <c r="M22" s="41">
        <f t="shared" si="23"/>
        <v>0</v>
      </c>
      <c r="N22" s="42">
        <f>IF(AND(D22&lt;&gt;"Jour libre 4/5",B22&lt;&gt;"Sa",B22&lt;&gt;"Di"),SUM(N21,Configuration!$H$41),SUM(N21))</f>
        <v>10.133333333333328</v>
      </c>
      <c r="O22" s="49" t="str">
        <f t="shared" si="24"/>
        <v>-</v>
      </c>
      <c r="P22" s="143">
        <f t="shared" si="17"/>
        <v>10.133333333333328</v>
      </c>
      <c r="Q22" s="167">
        <f t="shared" si="18"/>
        <v>0</v>
      </c>
      <c r="R22" s="168">
        <f t="shared" si="18"/>
        <v>0</v>
      </c>
      <c r="S22" s="168">
        <f t="shared" si="18"/>
        <v>0</v>
      </c>
      <c r="T22" s="169">
        <f t="shared" si="18"/>
        <v>0</v>
      </c>
      <c r="U22" s="97">
        <f t="shared" si="2"/>
        <v>0</v>
      </c>
      <c r="V22" s="97">
        <f t="shared" si="3"/>
        <v>0</v>
      </c>
      <c r="W22" s="97">
        <f t="shared" si="4"/>
        <v>0</v>
      </c>
      <c r="X22" s="97">
        <f t="shared" si="5"/>
        <v>0</v>
      </c>
      <c r="Y22" s="209"/>
      <c r="Z22" s="210"/>
      <c r="AA22" s="210"/>
      <c r="AB22" s="128">
        <f>IF(AND(D22="Jour férié semaine",((G22-F22)+(I22-H22)+(K22-J22)=0)),VLOOKUP(D22,Systeemgegevens!$J:$K,2,FALSE),0)</f>
        <v>0</v>
      </c>
      <c r="AC22" s="43">
        <f>IF(AND(NOT(ISERROR(FIND("Congé",D22))),ISERROR(FIND("1/2",D22)),ISERROR(FIND("Synd",D22)),ISERROR(FIND("synd",D22)),(G22-F22+I22-H22+K22-J22)=0),VLOOKUP(D22,Systeemgegevens!$J:$K,2,FALSE),IF(AND(NOT(ISERROR(FIND("1/2 Congé + ",D22))),(G22-F22+I22-H22+K22-J22)=0),VLOOKUP(D22,Systeemgegevens!$J:$K,2,FALSE)/2,IF(AND(NOT(ISERROR(FIND("1/2 Congé",D22))),ISERROR(FIND(" + ",D22)),ISERROR(FIND("1/2 Congé Synd.",D22))),VLOOKUP(D22,Systeemgegevens!$J:$K,2,FALSE),0)))</f>
        <v>0</v>
      </c>
      <c r="AD22" s="43">
        <f>IF(AND(OR(D22="1/2 Congé Synd.",D22="Congé Synd."),((G22-F22)+(I22-H22)+(K22-J22)=0)),VLOOKUP(D22,Systeemgegevens!$J:$K,2,FALSE),IF(AND(D22="1/2 Congé + 1/2 synd.",((G22-F22)+(I22-H22)+(K22-J22)=0)),AC22,0))</f>
        <v>0</v>
      </c>
      <c r="AE22" s="43">
        <f>IF(AND(D22="Jour de pont",((G22-F22)+(I22-H22)+(K22-J22)=0)),VLOOKUP(D22,Systeemgegevens!$J:$K,2,FALSE),0)</f>
        <v>0</v>
      </c>
      <c r="AF22" s="43">
        <f>IF(AND(D22="Jour libre 4/5",AND((G22-F22)+(I22-H22)+(K22-J22)=0)),VLOOKUP(D22,Systeemgegevens!$J:$K,2,FALSE),0)</f>
        <v>0</v>
      </c>
      <c r="AG22" s="118">
        <f>IF(AND(D22&lt;&gt;"",SUM(AB22:AF22)=0,D22&lt;&gt;$AB$4,D22&lt;&gt;$AC$4,D22&lt;&gt;$AE$4,D22&lt;&gt;$AF$4),VLOOKUP(D22,Systeemgegevens!$J:$K,2,FALSE),0)</f>
        <v>0</v>
      </c>
      <c r="AH22" s="119">
        <f t="shared" si="6"/>
        <v>0</v>
      </c>
      <c r="AI22" s="101">
        <f t="shared" si="7"/>
        <v>0</v>
      </c>
      <c r="AJ22" s="118">
        <f t="shared" si="19"/>
        <v>0</v>
      </c>
      <c r="AK22" s="119">
        <f t="shared" si="8"/>
        <v>0</v>
      </c>
      <c r="AL22" s="101">
        <f t="shared" si="9"/>
        <v>0</v>
      </c>
      <c r="AM22" s="43">
        <f t="shared" si="20"/>
        <v>0</v>
      </c>
      <c r="AN22" s="118">
        <f t="shared" si="21"/>
        <v>0</v>
      </c>
      <c r="AO22" s="122">
        <f t="shared" si="10"/>
        <v>0</v>
      </c>
      <c r="AP22" s="107">
        <f t="shared" si="11"/>
        <v>0</v>
      </c>
      <c r="AQ22" s="107">
        <f t="shared" si="12"/>
        <v>0</v>
      </c>
      <c r="AR22" s="123">
        <f t="shared" si="13"/>
        <v>0</v>
      </c>
      <c r="AS22" s="124">
        <f t="shared" si="14"/>
        <v>0</v>
      </c>
      <c r="AT22" s="124">
        <f t="shared" si="15"/>
        <v>0</v>
      </c>
      <c r="AU22" s="124">
        <f t="shared" si="16"/>
        <v>0</v>
      </c>
      <c r="AV22" s="117" t="s">
        <v>23</v>
      </c>
      <c r="AW22" s="129">
        <f>IF(($R$41=AV22)*AND($R$42&lt;&gt;""),VLOOKUP($R$42,'Barèmes police'!$AR$4:$AS$30,2),0)</f>
        <v>0</v>
      </c>
      <c r="AX22" s="16" t="str">
        <f>IF('Types de jours'!F28&lt;&gt;"",'Types de jours'!F28,"")</f>
        <v/>
      </c>
      <c r="AY22" s="144" t="str">
        <f>IF(AX22&lt;&gt;"",'Types de jours'!I28,"")</f>
        <v/>
      </c>
      <c r="AZ22" s="269"/>
      <c r="BA22" s="154"/>
      <c r="BB22" s="154"/>
      <c r="BC22" s="154"/>
      <c r="BD22" s="154"/>
      <c r="BE22" s="154"/>
      <c r="BF22" s="154"/>
    </row>
    <row r="23" spans="1:58" ht="12.75" customHeight="1" x14ac:dyDescent="0.2">
      <c r="A23" s="34"/>
      <c r="B23" s="24" t="str">
        <f t="shared" si="0"/>
        <v>Me</v>
      </c>
      <c r="C23" s="25">
        <f t="shared" si="22"/>
        <v>45581</v>
      </c>
      <c r="D23" s="51"/>
      <c r="E23" s="116"/>
      <c r="F23" s="52"/>
      <c r="G23" s="53"/>
      <c r="H23" s="52"/>
      <c r="I23" s="53"/>
      <c r="J23" s="54"/>
      <c r="K23" s="55"/>
      <c r="L23" s="40">
        <f t="shared" si="1"/>
        <v>0</v>
      </c>
      <c r="M23" s="41">
        <f t="shared" si="23"/>
        <v>0</v>
      </c>
      <c r="N23" s="42">
        <f>IF(AND(D23&lt;&gt;"Jour libre 4/5",B23&lt;&gt;"Sa",B23&lt;&gt;"Di"),SUM(N22,Configuration!$H$41),SUM(N22))</f>
        <v>10.449999999999994</v>
      </c>
      <c r="O23" s="49" t="str">
        <f t="shared" si="24"/>
        <v>-</v>
      </c>
      <c r="P23" s="143">
        <f t="shared" si="17"/>
        <v>10.449999999999994</v>
      </c>
      <c r="Q23" s="167">
        <f t="shared" si="18"/>
        <v>0</v>
      </c>
      <c r="R23" s="168">
        <f t="shared" si="18"/>
        <v>0</v>
      </c>
      <c r="S23" s="168">
        <f t="shared" si="18"/>
        <v>0</v>
      </c>
      <c r="T23" s="169">
        <f t="shared" si="18"/>
        <v>0</v>
      </c>
      <c r="U23" s="97">
        <f t="shared" si="2"/>
        <v>0</v>
      </c>
      <c r="V23" s="97">
        <f t="shared" si="3"/>
        <v>0</v>
      </c>
      <c r="W23" s="97">
        <f t="shared" si="4"/>
        <v>0</v>
      </c>
      <c r="X23" s="97">
        <f t="shared" si="5"/>
        <v>0</v>
      </c>
      <c r="Y23" s="209"/>
      <c r="Z23" s="210"/>
      <c r="AA23" s="210"/>
      <c r="AB23" s="128">
        <f>IF(AND(D23="Jour férié semaine",((G23-F23)+(I23-H23)+(K23-J23)=0)),VLOOKUP(D23,Systeemgegevens!$J:$K,2,FALSE),0)</f>
        <v>0</v>
      </c>
      <c r="AC23" s="43">
        <f>IF(AND(NOT(ISERROR(FIND("Congé",D23))),ISERROR(FIND("1/2",D23)),ISERROR(FIND("Synd",D23)),ISERROR(FIND("synd",D23)),(G23-F23+I23-H23+K23-J23)=0),VLOOKUP(D23,Systeemgegevens!$J:$K,2,FALSE),IF(AND(NOT(ISERROR(FIND("1/2 Congé + ",D23))),(G23-F23+I23-H23+K23-J23)=0),VLOOKUP(D23,Systeemgegevens!$J:$K,2,FALSE)/2,IF(AND(NOT(ISERROR(FIND("1/2 Congé",D23))),ISERROR(FIND(" + ",D23)),ISERROR(FIND("1/2 Congé Synd.",D23))),VLOOKUP(D23,Systeemgegevens!$J:$K,2,FALSE),0)))</f>
        <v>0</v>
      </c>
      <c r="AD23" s="43">
        <f>IF(AND(OR(D23="1/2 Congé Synd.",D23="Congé Synd."),((G23-F23)+(I23-H23)+(K23-J23)=0)),VLOOKUP(D23,Systeemgegevens!$J:$K,2,FALSE),IF(AND(D23="1/2 Congé + 1/2 synd.",((G23-F23)+(I23-H23)+(K23-J23)=0)),AC23,0))</f>
        <v>0</v>
      </c>
      <c r="AE23" s="43">
        <f>IF(AND(D23="Jour de pont",((G23-F23)+(I23-H23)+(K23-J23)=0)),VLOOKUP(D23,Systeemgegevens!$J:$K,2,FALSE),0)</f>
        <v>0</v>
      </c>
      <c r="AF23" s="43">
        <f>IF(AND(D23="Jour libre 4/5",AND((G23-F23)+(I23-H23)+(K23-J23)=0)),VLOOKUP(D23,Systeemgegevens!$J:$K,2,FALSE),0)</f>
        <v>0</v>
      </c>
      <c r="AG23" s="118">
        <f>IF(AND(D23&lt;&gt;"",SUM(AB23:AF23)=0,D23&lt;&gt;$AB$4,D23&lt;&gt;$AC$4,D23&lt;&gt;$AE$4,D23&lt;&gt;$AF$4),VLOOKUP(D23,Systeemgegevens!$J:$K,2,FALSE),0)</f>
        <v>0</v>
      </c>
      <c r="AH23" s="119">
        <f t="shared" si="6"/>
        <v>0</v>
      </c>
      <c r="AI23" s="101">
        <f t="shared" si="7"/>
        <v>0</v>
      </c>
      <c r="AJ23" s="118">
        <f t="shared" si="19"/>
        <v>0</v>
      </c>
      <c r="AK23" s="119">
        <f t="shared" si="8"/>
        <v>0</v>
      </c>
      <c r="AL23" s="101">
        <f t="shared" si="9"/>
        <v>0</v>
      </c>
      <c r="AM23" s="43">
        <f t="shared" si="20"/>
        <v>0</v>
      </c>
      <c r="AN23" s="118">
        <f t="shared" si="21"/>
        <v>0</v>
      </c>
      <c r="AO23" s="122">
        <f t="shared" si="10"/>
        <v>0</v>
      </c>
      <c r="AP23" s="107">
        <f t="shared" si="11"/>
        <v>0</v>
      </c>
      <c r="AQ23" s="107">
        <f t="shared" si="12"/>
        <v>0</v>
      </c>
      <c r="AR23" s="123">
        <f t="shared" si="13"/>
        <v>0</v>
      </c>
      <c r="AS23" s="124">
        <f t="shared" si="14"/>
        <v>0</v>
      </c>
      <c r="AT23" s="124">
        <f t="shared" si="15"/>
        <v>0</v>
      </c>
      <c r="AU23" s="124">
        <f t="shared" si="16"/>
        <v>0</v>
      </c>
      <c r="AV23" s="117" t="s">
        <v>22</v>
      </c>
      <c r="AW23" s="129">
        <f>IF(($R$41=AV23)*AND($R$42&lt;&gt;""),VLOOKUP($R$42,'Barèmes police'!$AU$4:$AV$34,2),0)</f>
        <v>0</v>
      </c>
      <c r="AX23" s="16" t="str">
        <f>IF('Types de jours'!F29&lt;&gt;"",'Types de jours'!F29,"")</f>
        <v/>
      </c>
      <c r="AY23" s="144" t="str">
        <f>IF(AX23&lt;&gt;"",'Types de jours'!I29,"")</f>
        <v/>
      </c>
      <c r="AZ23" s="269"/>
      <c r="BA23" s="154"/>
      <c r="BB23" s="154"/>
      <c r="BC23" s="154"/>
      <c r="BD23" s="154"/>
      <c r="BE23" s="154"/>
      <c r="BF23" s="154"/>
    </row>
    <row r="24" spans="1:58" ht="12.75" customHeight="1" x14ac:dyDescent="0.2">
      <c r="A24" s="34"/>
      <c r="B24" s="24" t="str">
        <f t="shared" si="0"/>
        <v>Je</v>
      </c>
      <c r="C24" s="25">
        <f t="shared" si="22"/>
        <v>45582</v>
      </c>
      <c r="D24" s="51"/>
      <c r="E24" s="116"/>
      <c r="F24" s="52"/>
      <c r="G24" s="53"/>
      <c r="H24" s="52"/>
      <c r="I24" s="53"/>
      <c r="J24" s="54"/>
      <c r="K24" s="55"/>
      <c r="L24" s="40">
        <f t="shared" si="1"/>
        <v>0</v>
      </c>
      <c r="M24" s="41">
        <f t="shared" si="23"/>
        <v>0</v>
      </c>
      <c r="N24" s="42">
        <f>IF(AND(D24&lt;&gt;"Jour libre 4/5",B24&lt;&gt;"Sa",B24&lt;&gt;"Di"),SUM(N23,Configuration!$H$41),SUM(N23))</f>
        <v>10.76666666666666</v>
      </c>
      <c r="O24" s="49" t="str">
        <f t="shared" si="24"/>
        <v>-</v>
      </c>
      <c r="P24" s="143">
        <f t="shared" si="17"/>
        <v>10.76666666666666</v>
      </c>
      <c r="Q24" s="167">
        <f t="shared" si="18"/>
        <v>0</v>
      </c>
      <c r="R24" s="168">
        <f t="shared" si="18"/>
        <v>0</v>
      </c>
      <c r="S24" s="168">
        <f t="shared" si="18"/>
        <v>0</v>
      </c>
      <c r="T24" s="169">
        <f t="shared" si="18"/>
        <v>0</v>
      </c>
      <c r="U24" s="97">
        <f t="shared" si="2"/>
        <v>0</v>
      </c>
      <c r="V24" s="97">
        <f t="shared" si="3"/>
        <v>0</v>
      </c>
      <c r="W24" s="97">
        <f t="shared" si="4"/>
        <v>0</v>
      </c>
      <c r="X24" s="97">
        <f t="shared" si="5"/>
        <v>0</v>
      </c>
      <c r="Y24" s="209"/>
      <c r="Z24" s="210"/>
      <c r="AA24" s="210"/>
      <c r="AB24" s="128">
        <f>IF(AND(D24="Jour férié semaine",((G24-F24)+(I24-H24)+(K24-J24)=0)),VLOOKUP(D24,Systeemgegevens!$J:$K,2,FALSE),0)</f>
        <v>0</v>
      </c>
      <c r="AC24" s="43">
        <f>IF(AND(NOT(ISERROR(FIND("Congé",D24))),ISERROR(FIND("1/2",D24)),ISERROR(FIND("Synd",D24)),ISERROR(FIND("synd",D24)),(G24-F24+I24-H24+K24-J24)=0),VLOOKUP(D24,Systeemgegevens!$J:$K,2,FALSE),IF(AND(NOT(ISERROR(FIND("1/2 Congé + ",D24))),(G24-F24+I24-H24+K24-J24)=0),VLOOKUP(D24,Systeemgegevens!$J:$K,2,FALSE)/2,IF(AND(NOT(ISERROR(FIND("1/2 Congé",D24))),ISERROR(FIND(" + ",D24)),ISERROR(FIND("1/2 Congé Synd.",D24))),VLOOKUP(D24,Systeemgegevens!$J:$K,2,FALSE),0)))</f>
        <v>0</v>
      </c>
      <c r="AD24" s="43">
        <f>IF(AND(OR(D24="1/2 Congé Synd.",D24="Congé Synd."),((G24-F24)+(I24-H24)+(K24-J24)=0)),VLOOKUP(D24,Systeemgegevens!$J:$K,2,FALSE),IF(AND(D24="1/2 Congé + 1/2 synd.",((G24-F24)+(I24-H24)+(K24-J24)=0)),AC24,0))</f>
        <v>0</v>
      </c>
      <c r="AE24" s="43">
        <f>IF(AND(D24="Jour de pont",((G24-F24)+(I24-H24)+(K24-J24)=0)),VLOOKUP(D24,Systeemgegevens!$J:$K,2,FALSE),0)</f>
        <v>0</v>
      </c>
      <c r="AF24" s="43">
        <f>IF(AND(D24="Jour libre 4/5",AND((G24-F24)+(I24-H24)+(K24-J24)=0)),VLOOKUP(D24,Systeemgegevens!$J:$K,2,FALSE),0)</f>
        <v>0</v>
      </c>
      <c r="AG24" s="118">
        <f>IF(AND(D24&lt;&gt;"",SUM(AB24:AF24)=0,D24&lt;&gt;$AB$4,D24&lt;&gt;$AC$4,D24&lt;&gt;$AE$4,D24&lt;&gt;$AF$4),VLOOKUP(D24,Systeemgegevens!$J:$K,2,FALSE),0)</f>
        <v>0</v>
      </c>
      <c r="AH24" s="119">
        <f t="shared" si="6"/>
        <v>0</v>
      </c>
      <c r="AI24" s="101">
        <f t="shared" si="7"/>
        <v>0</v>
      </c>
      <c r="AJ24" s="118">
        <f t="shared" si="19"/>
        <v>0</v>
      </c>
      <c r="AK24" s="119">
        <f t="shared" si="8"/>
        <v>0</v>
      </c>
      <c r="AL24" s="101">
        <f t="shared" si="9"/>
        <v>0</v>
      </c>
      <c r="AM24" s="43">
        <f t="shared" si="20"/>
        <v>0</v>
      </c>
      <c r="AN24" s="118">
        <f t="shared" si="21"/>
        <v>0</v>
      </c>
      <c r="AO24" s="122">
        <f t="shared" si="10"/>
        <v>0</v>
      </c>
      <c r="AP24" s="107">
        <f t="shared" si="11"/>
        <v>0</v>
      </c>
      <c r="AQ24" s="107">
        <f t="shared" si="12"/>
        <v>0</v>
      </c>
      <c r="AR24" s="123">
        <f t="shared" si="13"/>
        <v>0</v>
      </c>
      <c r="AS24" s="124">
        <f t="shared" si="14"/>
        <v>0</v>
      </c>
      <c r="AT24" s="124">
        <f t="shared" si="15"/>
        <v>0</v>
      </c>
      <c r="AU24" s="124">
        <f t="shared" si="16"/>
        <v>0</v>
      </c>
      <c r="AV24" s="117" t="s">
        <v>21</v>
      </c>
      <c r="AW24" s="129">
        <f>IF(($R$41=AV24)*AND($R$42&lt;&gt;""),VLOOKUP($R$42,'Barèmes police'!$AX$4:$AY$30,2),0)</f>
        <v>0</v>
      </c>
      <c r="AX24" s="16" t="str">
        <f>IF('Types de jours'!F30&lt;&gt;"",'Types de jours'!F30,"")</f>
        <v/>
      </c>
      <c r="AY24" s="144" t="str">
        <f>IF(AX24&lt;&gt;"",'Types de jours'!I30,"")</f>
        <v/>
      </c>
      <c r="AZ24" s="269"/>
      <c r="BA24" s="154"/>
      <c r="BB24" s="154"/>
      <c r="BC24" s="154"/>
      <c r="BD24" s="154"/>
      <c r="BE24" s="154"/>
      <c r="BF24" s="154"/>
    </row>
    <row r="25" spans="1:58" ht="12.75" customHeight="1" x14ac:dyDescent="0.2">
      <c r="A25" s="34"/>
      <c r="B25" s="24" t="str">
        <f t="shared" si="0"/>
        <v>Ve</v>
      </c>
      <c r="C25" s="25">
        <f t="shared" si="22"/>
        <v>45583</v>
      </c>
      <c r="D25" s="51"/>
      <c r="E25" s="116"/>
      <c r="F25" s="52"/>
      <c r="G25" s="53"/>
      <c r="H25" s="52"/>
      <c r="I25" s="53"/>
      <c r="J25" s="54"/>
      <c r="K25" s="55"/>
      <c r="L25" s="40">
        <f t="shared" si="1"/>
        <v>0</v>
      </c>
      <c r="M25" s="41">
        <f t="shared" si="23"/>
        <v>0</v>
      </c>
      <c r="N25" s="42">
        <f>IF(AND(D25&lt;&gt;"Jour libre 4/5",B25&lt;&gt;"Sa",B25&lt;&gt;"Di"),SUM(N24,Configuration!$H$41),SUM(N24))</f>
        <v>11.083333333333327</v>
      </c>
      <c r="O25" s="49" t="str">
        <f t="shared" si="24"/>
        <v>-</v>
      </c>
      <c r="P25" s="143">
        <f t="shared" si="17"/>
        <v>11.083333333333327</v>
      </c>
      <c r="Q25" s="167">
        <f t="shared" si="18"/>
        <v>0</v>
      </c>
      <c r="R25" s="168">
        <f t="shared" si="18"/>
        <v>0</v>
      </c>
      <c r="S25" s="168">
        <f t="shared" si="18"/>
        <v>0</v>
      </c>
      <c r="T25" s="169">
        <f t="shared" si="18"/>
        <v>0</v>
      </c>
      <c r="U25" s="97">
        <f t="shared" si="2"/>
        <v>0</v>
      </c>
      <c r="V25" s="97">
        <f t="shared" si="3"/>
        <v>0</v>
      </c>
      <c r="W25" s="97">
        <f t="shared" si="4"/>
        <v>0</v>
      </c>
      <c r="X25" s="97">
        <f t="shared" si="5"/>
        <v>0</v>
      </c>
      <c r="Y25" s="209"/>
      <c r="Z25" s="210"/>
      <c r="AA25" s="210"/>
      <c r="AB25" s="128">
        <f>IF(AND(D25="Jour férié semaine",((G25-F25)+(I25-H25)+(K25-J25)=0)),VLOOKUP(D25,Systeemgegevens!$J:$K,2,FALSE),0)</f>
        <v>0</v>
      </c>
      <c r="AC25" s="43">
        <f>IF(AND(NOT(ISERROR(FIND("Congé",D25))),ISERROR(FIND("1/2",D25)),ISERROR(FIND("Synd",D25)),ISERROR(FIND("synd",D25)),(G25-F25+I25-H25+K25-J25)=0),VLOOKUP(D25,Systeemgegevens!$J:$K,2,FALSE),IF(AND(NOT(ISERROR(FIND("1/2 Congé + ",D25))),(G25-F25+I25-H25+K25-J25)=0),VLOOKUP(D25,Systeemgegevens!$J:$K,2,FALSE)/2,IF(AND(NOT(ISERROR(FIND("1/2 Congé",D25))),ISERROR(FIND(" + ",D25)),ISERROR(FIND("1/2 Congé Synd.",D25))),VLOOKUP(D25,Systeemgegevens!$J:$K,2,FALSE),0)))</f>
        <v>0</v>
      </c>
      <c r="AD25" s="43">
        <f>IF(AND(OR(D25="1/2 Congé Synd.",D25="Congé Synd."),((G25-F25)+(I25-H25)+(K25-J25)=0)),VLOOKUP(D25,Systeemgegevens!$J:$K,2,FALSE),IF(AND(D25="1/2 Congé + 1/2 synd.",((G25-F25)+(I25-H25)+(K25-J25)=0)),AC25,0))</f>
        <v>0</v>
      </c>
      <c r="AE25" s="43">
        <f>IF(AND(D25="Jour de pont",((G25-F25)+(I25-H25)+(K25-J25)=0)),VLOOKUP(D25,Systeemgegevens!$J:$K,2,FALSE),0)</f>
        <v>0</v>
      </c>
      <c r="AF25" s="43">
        <f>IF(AND(D25="Jour libre 4/5",AND((G25-F25)+(I25-H25)+(K25-J25)=0)),VLOOKUP(D25,Systeemgegevens!$J:$K,2,FALSE),0)</f>
        <v>0</v>
      </c>
      <c r="AG25" s="118">
        <f>IF(AND(D25&lt;&gt;"",SUM(AB25:AF25)=0,D25&lt;&gt;$AB$4,D25&lt;&gt;$AC$4,D25&lt;&gt;$AE$4,D25&lt;&gt;$AF$4),VLOOKUP(D25,Systeemgegevens!$J:$K,2,FALSE),0)</f>
        <v>0</v>
      </c>
      <c r="AH25" s="119">
        <f t="shared" si="6"/>
        <v>0</v>
      </c>
      <c r="AI25" s="101">
        <f t="shared" si="7"/>
        <v>0</v>
      </c>
      <c r="AJ25" s="118">
        <f t="shared" si="19"/>
        <v>0</v>
      </c>
      <c r="AK25" s="119">
        <f t="shared" si="8"/>
        <v>0</v>
      </c>
      <c r="AL25" s="101">
        <f t="shared" si="9"/>
        <v>0</v>
      </c>
      <c r="AM25" s="43">
        <f t="shared" si="20"/>
        <v>0</v>
      </c>
      <c r="AN25" s="118">
        <f t="shared" si="21"/>
        <v>0</v>
      </c>
      <c r="AO25" s="122">
        <f t="shared" si="10"/>
        <v>0</v>
      </c>
      <c r="AP25" s="107">
        <f t="shared" si="11"/>
        <v>0</v>
      </c>
      <c r="AQ25" s="107">
        <f t="shared" si="12"/>
        <v>0</v>
      </c>
      <c r="AR25" s="123">
        <f t="shared" si="13"/>
        <v>0</v>
      </c>
      <c r="AS25" s="124">
        <f t="shared" si="14"/>
        <v>0</v>
      </c>
      <c r="AT25" s="124">
        <f t="shared" si="15"/>
        <v>0</v>
      </c>
      <c r="AU25" s="124">
        <f t="shared" si="16"/>
        <v>0</v>
      </c>
      <c r="AV25" s="117" t="s">
        <v>20</v>
      </c>
      <c r="AW25" s="129">
        <f>IF(($R$41=AV25)*AND($R$42&lt;&gt;""),VLOOKUP($R$42,'Barèmes police'!$BA$4:$BB$34,2),0)</f>
        <v>0</v>
      </c>
      <c r="AX25" s="16" t="str">
        <f>IF('Types de jours'!F31&lt;&gt;"",'Types de jours'!F31,"")</f>
        <v/>
      </c>
      <c r="AY25" s="144" t="str">
        <f>IF(AX25&lt;&gt;"",'Types de jours'!I31,"")</f>
        <v/>
      </c>
      <c r="AZ25" s="269"/>
      <c r="BA25" s="154"/>
      <c r="BB25" s="154"/>
      <c r="BC25" s="154"/>
      <c r="BD25" s="154"/>
      <c r="BE25" s="154"/>
      <c r="BF25" s="154"/>
    </row>
    <row r="26" spans="1:58" ht="12.75" customHeight="1" x14ac:dyDescent="0.2">
      <c r="A26" s="34"/>
      <c r="B26" s="24" t="str">
        <f t="shared" si="0"/>
        <v>Sa</v>
      </c>
      <c r="C26" s="25">
        <f t="shared" si="22"/>
        <v>45584</v>
      </c>
      <c r="D26" s="51"/>
      <c r="E26" s="116"/>
      <c r="F26" s="52"/>
      <c r="G26" s="53"/>
      <c r="H26" s="54"/>
      <c r="I26" s="55"/>
      <c r="J26" s="54"/>
      <c r="K26" s="55"/>
      <c r="L26" s="40">
        <f t="shared" si="1"/>
        <v>0</v>
      </c>
      <c r="M26" s="41">
        <f t="shared" si="23"/>
        <v>0</v>
      </c>
      <c r="N26" s="42">
        <f>IF(AND(D26&lt;&gt;"Jour libre 4/5",B26&lt;&gt;"Sa",B26&lt;&gt;"Di"),SUM(N25,Configuration!$H$41),SUM(N25))</f>
        <v>11.083333333333327</v>
      </c>
      <c r="O26" s="49" t="str">
        <f t="shared" si="24"/>
        <v>-</v>
      </c>
      <c r="P26" s="143">
        <f t="shared" si="17"/>
        <v>11.083333333333327</v>
      </c>
      <c r="Q26" s="167">
        <f t="shared" si="18"/>
        <v>0</v>
      </c>
      <c r="R26" s="168">
        <f t="shared" si="18"/>
        <v>0</v>
      </c>
      <c r="S26" s="168">
        <f t="shared" si="18"/>
        <v>0</v>
      </c>
      <c r="T26" s="169">
        <f t="shared" si="18"/>
        <v>0</v>
      </c>
      <c r="U26" s="97">
        <f t="shared" si="2"/>
        <v>0</v>
      </c>
      <c r="V26" s="97">
        <f t="shared" si="3"/>
        <v>0</v>
      </c>
      <c r="W26" s="97">
        <f t="shared" si="4"/>
        <v>0</v>
      </c>
      <c r="X26" s="97">
        <f t="shared" si="5"/>
        <v>0</v>
      </c>
      <c r="Y26" s="209"/>
      <c r="Z26" s="210"/>
      <c r="AA26" s="210"/>
      <c r="AB26" s="128">
        <f>IF(AND(D26="Jour férié semaine",((G26-F26)+(I26-H26)+(K26-J26)=0)),VLOOKUP(D26,Systeemgegevens!$J:$K,2,FALSE),0)</f>
        <v>0</v>
      </c>
      <c r="AC26" s="43">
        <f>IF(AND(NOT(ISERROR(FIND("Congé",D26))),ISERROR(FIND("1/2",D26)),ISERROR(FIND("Synd",D26)),ISERROR(FIND("synd",D26)),(G26-F26+I26-H26+K26-J26)=0),VLOOKUP(D26,Systeemgegevens!$J:$K,2,FALSE),IF(AND(NOT(ISERROR(FIND("1/2 Congé + ",D26))),(G26-F26+I26-H26+K26-J26)=0),VLOOKUP(D26,Systeemgegevens!$J:$K,2,FALSE)/2,IF(AND(NOT(ISERROR(FIND("1/2 Congé",D26))),ISERROR(FIND(" + ",D26)),ISERROR(FIND("1/2 Congé Synd.",D26))),VLOOKUP(D26,Systeemgegevens!$J:$K,2,FALSE),0)))</f>
        <v>0</v>
      </c>
      <c r="AD26" s="43">
        <f>IF(AND(OR(D26="1/2 Congé Synd.",D26="Congé Synd."),((G26-F26)+(I26-H26)+(K26-J26)=0)),VLOOKUP(D26,Systeemgegevens!$J:$K,2,FALSE),IF(AND(D26="1/2 Congé + 1/2 synd.",((G26-F26)+(I26-H26)+(K26-J26)=0)),AC26,0))</f>
        <v>0</v>
      </c>
      <c r="AE26" s="43">
        <f>IF(AND(D26="Jour de pont",((G26-F26)+(I26-H26)+(K26-J26)=0)),VLOOKUP(D26,Systeemgegevens!$J:$K,2,FALSE),0)</f>
        <v>0</v>
      </c>
      <c r="AF26" s="43">
        <f>IF(AND(D26="Jour libre 4/5",AND((G26-F26)+(I26-H26)+(K26-J26)=0)),VLOOKUP(D26,Systeemgegevens!$J:$K,2,FALSE),0)</f>
        <v>0</v>
      </c>
      <c r="AG26" s="118">
        <f>IF(AND(D26&lt;&gt;"",SUM(AB26:AF26)=0,D26&lt;&gt;$AB$4,D26&lt;&gt;$AC$4,D26&lt;&gt;$AE$4,D26&lt;&gt;$AF$4),VLOOKUP(D26,Systeemgegevens!$J:$K,2,FALSE),0)</f>
        <v>0</v>
      </c>
      <c r="AH26" s="119">
        <f t="shared" si="6"/>
        <v>0</v>
      </c>
      <c r="AI26" s="101">
        <f t="shared" si="7"/>
        <v>0</v>
      </c>
      <c r="AJ26" s="118">
        <f t="shared" si="19"/>
        <v>0</v>
      </c>
      <c r="AK26" s="119">
        <f t="shared" si="8"/>
        <v>0</v>
      </c>
      <c r="AL26" s="101">
        <f t="shared" si="9"/>
        <v>0</v>
      </c>
      <c r="AM26" s="43">
        <f t="shared" si="20"/>
        <v>0</v>
      </c>
      <c r="AN26" s="118">
        <f t="shared" si="21"/>
        <v>0</v>
      </c>
      <c r="AO26" s="122">
        <f t="shared" si="10"/>
        <v>0</v>
      </c>
      <c r="AP26" s="107">
        <f t="shared" si="11"/>
        <v>0</v>
      </c>
      <c r="AQ26" s="107">
        <f t="shared" si="12"/>
        <v>0</v>
      </c>
      <c r="AR26" s="123">
        <f t="shared" si="13"/>
        <v>0</v>
      </c>
      <c r="AS26" s="124">
        <f t="shared" si="14"/>
        <v>0</v>
      </c>
      <c r="AT26" s="124">
        <f t="shared" si="15"/>
        <v>0</v>
      </c>
      <c r="AU26" s="124">
        <f t="shared" si="16"/>
        <v>0</v>
      </c>
      <c r="AV26" s="117" t="s">
        <v>19</v>
      </c>
      <c r="AW26" s="129">
        <f>IF(($R$41=AV26)*AND($R$42&lt;&gt;""),VLOOKUP($R$42,'Barèmes police'!$BD$4:$BE$30,2),0)</f>
        <v>0</v>
      </c>
      <c r="AX26" s="16" t="str">
        <f>IF('Types de jours'!F32&lt;&gt;"",'Types de jours'!F32,"")</f>
        <v/>
      </c>
      <c r="AY26" s="144" t="str">
        <f>IF(AX26&lt;&gt;"",'Types de jours'!I32,"")</f>
        <v/>
      </c>
      <c r="AZ26" s="269"/>
      <c r="BA26" s="154"/>
      <c r="BB26" s="154"/>
      <c r="BC26" s="154"/>
      <c r="BD26" s="154"/>
      <c r="BE26" s="154"/>
      <c r="BF26" s="154"/>
    </row>
    <row r="27" spans="1:58" ht="12.75" customHeight="1" x14ac:dyDescent="0.2">
      <c r="A27" s="34"/>
      <c r="B27" s="24" t="str">
        <f t="shared" si="0"/>
        <v>Di</v>
      </c>
      <c r="C27" s="25">
        <f t="shared" si="22"/>
        <v>45585</v>
      </c>
      <c r="D27" s="51"/>
      <c r="E27" s="116"/>
      <c r="F27" s="52"/>
      <c r="G27" s="53"/>
      <c r="H27" s="54"/>
      <c r="I27" s="55"/>
      <c r="J27" s="54"/>
      <c r="K27" s="55"/>
      <c r="L27" s="40">
        <f t="shared" si="1"/>
        <v>0</v>
      </c>
      <c r="M27" s="41">
        <f t="shared" si="23"/>
        <v>0</v>
      </c>
      <c r="N27" s="42">
        <f>IF(AND(D27&lt;&gt;"Jour libre 4/5",B27&lt;&gt;"Sa",B27&lt;&gt;"Di"),SUM(N26,Configuration!$H$41),SUM(N26))</f>
        <v>11.083333333333327</v>
      </c>
      <c r="O27" s="49" t="str">
        <f t="shared" si="24"/>
        <v>-</v>
      </c>
      <c r="P27" s="143">
        <f t="shared" si="17"/>
        <v>11.083333333333327</v>
      </c>
      <c r="Q27" s="167">
        <f t="shared" si="18"/>
        <v>0</v>
      </c>
      <c r="R27" s="168">
        <f t="shared" si="18"/>
        <v>0</v>
      </c>
      <c r="S27" s="168">
        <f t="shared" si="18"/>
        <v>0</v>
      </c>
      <c r="T27" s="169">
        <f t="shared" si="18"/>
        <v>0</v>
      </c>
      <c r="U27" s="97">
        <f t="shared" si="2"/>
        <v>0</v>
      </c>
      <c r="V27" s="97">
        <f t="shared" si="3"/>
        <v>0</v>
      </c>
      <c r="W27" s="97">
        <f t="shared" si="4"/>
        <v>0</v>
      </c>
      <c r="X27" s="97">
        <f t="shared" si="5"/>
        <v>0</v>
      </c>
      <c r="Y27" s="209"/>
      <c r="Z27" s="210"/>
      <c r="AA27" s="210"/>
      <c r="AB27" s="128">
        <f>IF(AND(D27="Jour férié semaine",((G27-F27)+(I27-H27)+(K27-J27)=0)),VLOOKUP(D27,Systeemgegevens!$J:$K,2,FALSE),0)</f>
        <v>0</v>
      </c>
      <c r="AC27" s="43">
        <f>IF(AND(NOT(ISERROR(FIND("Congé",D27))),ISERROR(FIND("1/2",D27)),ISERROR(FIND("Synd",D27)),ISERROR(FIND("synd",D27)),(G27-F27+I27-H27+K27-J27)=0),VLOOKUP(D27,Systeemgegevens!$J:$K,2,FALSE),IF(AND(NOT(ISERROR(FIND("1/2 Congé + ",D27))),(G27-F27+I27-H27+K27-J27)=0),VLOOKUP(D27,Systeemgegevens!$J:$K,2,FALSE)/2,IF(AND(NOT(ISERROR(FIND("1/2 Congé",D27))),ISERROR(FIND(" + ",D27)),ISERROR(FIND("1/2 Congé Synd.",D27))),VLOOKUP(D27,Systeemgegevens!$J:$K,2,FALSE),0)))</f>
        <v>0</v>
      </c>
      <c r="AD27" s="43">
        <f>IF(AND(OR(D27="1/2 Congé Synd.",D27="Congé Synd."),((G27-F27)+(I27-H27)+(K27-J27)=0)),VLOOKUP(D27,Systeemgegevens!$J:$K,2,FALSE),IF(AND(D27="1/2 Congé + 1/2 synd.",((G27-F27)+(I27-H27)+(K27-J27)=0)),AC27,0))</f>
        <v>0</v>
      </c>
      <c r="AE27" s="43">
        <f>IF(AND(D27="Jour de pont",((G27-F27)+(I27-H27)+(K27-J27)=0)),VLOOKUP(D27,Systeemgegevens!$J:$K,2,FALSE),0)</f>
        <v>0</v>
      </c>
      <c r="AF27" s="43">
        <f>IF(AND(D27="Jour libre 4/5",AND((G27-F27)+(I27-H27)+(K27-J27)=0)),VLOOKUP(D27,Systeemgegevens!$J:$K,2,FALSE),0)</f>
        <v>0</v>
      </c>
      <c r="AG27" s="118">
        <f>IF(AND(D27&lt;&gt;"",SUM(AB27:AF27)=0,D27&lt;&gt;$AB$4,D27&lt;&gt;$AC$4,D27&lt;&gt;$AE$4,D27&lt;&gt;$AF$4),VLOOKUP(D27,Systeemgegevens!$J:$K,2,FALSE),0)</f>
        <v>0</v>
      </c>
      <c r="AH27" s="119">
        <f t="shared" si="6"/>
        <v>0</v>
      </c>
      <c r="AI27" s="101">
        <f t="shared" si="7"/>
        <v>0</v>
      </c>
      <c r="AJ27" s="118">
        <f t="shared" si="19"/>
        <v>0</v>
      </c>
      <c r="AK27" s="119">
        <f t="shared" si="8"/>
        <v>0</v>
      </c>
      <c r="AL27" s="101">
        <f t="shared" si="9"/>
        <v>0</v>
      </c>
      <c r="AM27" s="43">
        <f t="shared" si="20"/>
        <v>0</v>
      </c>
      <c r="AN27" s="118">
        <f t="shared" si="21"/>
        <v>0</v>
      </c>
      <c r="AO27" s="122">
        <f t="shared" si="10"/>
        <v>0</v>
      </c>
      <c r="AP27" s="107">
        <f t="shared" si="11"/>
        <v>0</v>
      </c>
      <c r="AQ27" s="107">
        <f t="shared" si="12"/>
        <v>0</v>
      </c>
      <c r="AR27" s="123">
        <f t="shared" si="13"/>
        <v>0</v>
      </c>
      <c r="AS27" s="124">
        <f t="shared" si="14"/>
        <v>0</v>
      </c>
      <c r="AT27" s="124">
        <f t="shared" si="15"/>
        <v>0</v>
      </c>
      <c r="AU27" s="124">
        <f t="shared" si="16"/>
        <v>0</v>
      </c>
      <c r="AV27" s="117" t="s">
        <v>18</v>
      </c>
      <c r="AW27" s="129">
        <f>IF(($R$41=AV27)*AND($R$42&lt;&gt;""),VLOOKUP($R$42,'Barèmes police'!$BG$4:$BH$30,2),0)</f>
        <v>0</v>
      </c>
      <c r="AX27" s="16" t="str">
        <f>IF('Types de jours'!F33&lt;&gt;"",'Types de jours'!F33,"")</f>
        <v/>
      </c>
      <c r="AY27" s="144" t="str">
        <f>IF(AX27&lt;&gt;"",'Types de jours'!I33,"")</f>
        <v/>
      </c>
      <c r="AZ27" s="269"/>
      <c r="BA27" s="154"/>
      <c r="BB27" s="154"/>
      <c r="BC27" s="154"/>
      <c r="BD27" s="154"/>
      <c r="BE27" s="154"/>
      <c r="BF27" s="154"/>
    </row>
    <row r="28" spans="1:58" ht="12.75" customHeight="1" x14ac:dyDescent="0.2">
      <c r="A28" s="34"/>
      <c r="B28" s="24" t="str">
        <f t="shared" si="0"/>
        <v>Lu</v>
      </c>
      <c r="C28" s="25">
        <f t="shared" si="22"/>
        <v>45586</v>
      </c>
      <c r="D28" s="51"/>
      <c r="E28" s="116"/>
      <c r="F28" s="52"/>
      <c r="G28" s="53"/>
      <c r="H28" s="54"/>
      <c r="I28" s="55"/>
      <c r="J28" s="54"/>
      <c r="K28" s="55"/>
      <c r="L28" s="40">
        <f t="shared" si="1"/>
        <v>0</v>
      </c>
      <c r="M28" s="41">
        <f t="shared" si="23"/>
        <v>0</v>
      </c>
      <c r="N28" s="42">
        <f>IF(AND(D28&lt;&gt;"Jour libre 4/5",B28&lt;&gt;"Sa",B28&lt;&gt;"Di"),SUM(N27,Configuration!$H$41),SUM(N27))</f>
        <v>11.399999999999993</v>
      </c>
      <c r="O28" s="49" t="str">
        <f t="shared" si="24"/>
        <v>-</v>
      </c>
      <c r="P28" s="143">
        <f t="shared" si="17"/>
        <v>11.399999999999993</v>
      </c>
      <c r="Q28" s="167">
        <f t="shared" si="18"/>
        <v>0</v>
      </c>
      <c r="R28" s="168">
        <f t="shared" si="18"/>
        <v>0</v>
      </c>
      <c r="S28" s="168">
        <f t="shared" si="18"/>
        <v>0</v>
      </c>
      <c r="T28" s="169">
        <f t="shared" si="18"/>
        <v>0</v>
      </c>
      <c r="U28" s="97">
        <f t="shared" si="2"/>
        <v>0</v>
      </c>
      <c r="V28" s="97">
        <f t="shared" si="3"/>
        <v>0</v>
      </c>
      <c r="W28" s="97">
        <f t="shared" si="4"/>
        <v>0</v>
      </c>
      <c r="X28" s="97">
        <f t="shared" si="5"/>
        <v>0</v>
      </c>
      <c r="Y28" s="209"/>
      <c r="Z28" s="210"/>
      <c r="AA28" s="210"/>
      <c r="AB28" s="128">
        <f>IF(AND(D28="Jour férié semaine",((G28-F28)+(I28-H28)+(K28-J28)=0)),VLOOKUP(D28,Systeemgegevens!$J:$K,2,FALSE),0)</f>
        <v>0</v>
      </c>
      <c r="AC28" s="43">
        <f>IF(AND(NOT(ISERROR(FIND("Congé",D28))),ISERROR(FIND("1/2",D28)),ISERROR(FIND("Synd",D28)),ISERROR(FIND("synd",D28)),(G28-F28+I28-H28+K28-J28)=0),VLOOKUP(D28,Systeemgegevens!$J:$K,2,FALSE),IF(AND(NOT(ISERROR(FIND("1/2 Congé + ",D28))),(G28-F28+I28-H28+K28-J28)=0),VLOOKUP(D28,Systeemgegevens!$J:$K,2,FALSE)/2,IF(AND(NOT(ISERROR(FIND("1/2 Congé",D28))),ISERROR(FIND(" + ",D28)),ISERROR(FIND("1/2 Congé Synd.",D28))),VLOOKUP(D28,Systeemgegevens!$J:$K,2,FALSE),0)))</f>
        <v>0</v>
      </c>
      <c r="AD28" s="43">
        <f>IF(AND(OR(D28="1/2 Congé Synd.",D28="Congé Synd."),((G28-F28)+(I28-H28)+(K28-J28)=0)),VLOOKUP(D28,Systeemgegevens!$J:$K,2,FALSE),IF(AND(D28="1/2 Congé + 1/2 synd.",((G28-F28)+(I28-H28)+(K28-J28)=0)),AC28,0))</f>
        <v>0</v>
      </c>
      <c r="AE28" s="43">
        <f>IF(AND(D28="Jour de pont",((G28-F28)+(I28-H28)+(K28-J28)=0)),VLOOKUP(D28,Systeemgegevens!$J:$K,2,FALSE),0)</f>
        <v>0</v>
      </c>
      <c r="AF28" s="43">
        <f>IF(AND(D28="Jour libre 4/5",AND((G28-F28)+(I28-H28)+(K28-J28)=0)),VLOOKUP(D28,Systeemgegevens!$J:$K,2,FALSE),0)</f>
        <v>0</v>
      </c>
      <c r="AG28" s="118">
        <f>IF(AND(D28&lt;&gt;"",SUM(AB28:AF28)=0,D28&lt;&gt;$AB$4,D28&lt;&gt;$AC$4,D28&lt;&gt;$AE$4,D28&lt;&gt;$AF$4),VLOOKUP(D28,Systeemgegevens!$J:$K,2,FALSE),0)</f>
        <v>0</v>
      </c>
      <c r="AH28" s="119">
        <f t="shared" si="6"/>
        <v>0</v>
      </c>
      <c r="AI28" s="101">
        <f t="shared" si="7"/>
        <v>0</v>
      </c>
      <c r="AJ28" s="118">
        <f t="shared" si="19"/>
        <v>0</v>
      </c>
      <c r="AK28" s="119">
        <f t="shared" si="8"/>
        <v>0</v>
      </c>
      <c r="AL28" s="101">
        <f t="shared" si="9"/>
        <v>0</v>
      </c>
      <c r="AM28" s="43">
        <f t="shared" si="20"/>
        <v>0</v>
      </c>
      <c r="AN28" s="118">
        <f t="shared" si="21"/>
        <v>0</v>
      </c>
      <c r="AO28" s="122">
        <f t="shared" si="10"/>
        <v>0</v>
      </c>
      <c r="AP28" s="107">
        <f t="shared" si="11"/>
        <v>0</v>
      </c>
      <c r="AQ28" s="107">
        <f t="shared" si="12"/>
        <v>0</v>
      </c>
      <c r="AR28" s="123">
        <f t="shared" si="13"/>
        <v>0</v>
      </c>
      <c r="AS28" s="124">
        <f t="shared" si="14"/>
        <v>0</v>
      </c>
      <c r="AT28" s="124">
        <f t="shared" si="15"/>
        <v>0</v>
      </c>
      <c r="AU28" s="124">
        <f t="shared" si="16"/>
        <v>0</v>
      </c>
      <c r="AV28" s="117" t="s">
        <v>17</v>
      </c>
      <c r="AW28" s="129">
        <f>IF(($R$41=AV28)*AND($R$42&lt;&gt;""),VLOOKUP($R$42,'Barèmes police'!$BJ$4:$BK$30,2),0)</f>
        <v>0</v>
      </c>
      <c r="AX28" s="16" t="str">
        <f>IF('Types de jours'!F34&lt;&gt;"",'Types de jours'!F34,"")</f>
        <v/>
      </c>
      <c r="AY28" s="144" t="str">
        <f>IF(AX28&lt;&gt;"",'Types de jours'!I34,"")</f>
        <v/>
      </c>
      <c r="AZ28" s="269"/>
      <c r="BA28" s="154"/>
      <c r="BB28" s="154"/>
      <c r="BC28" s="154"/>
      <c r="BD28" s="154"/>
      <c r="BE28" s="154"/>
      <c r="BF28" s="154"/>
    </row>
    <row r="29" spans="1:58" ht="12.75" customHeight="1" x14ac:dyDescent="0.2">
      <c r="A29" s="34"/>
      <c r="B29" s="24" t="str">
        <f t="shared" si="0"/>
        <v>Ma</v>
      </c>
      <c r="C29" s="25">
        <f t="shared" si="22"/>
        <v>45587</v>
      </c>
      <c r="D29" s="51"/>
      <c r="E29" s="116"/>
      <c r="F29" s="52"/>
      <c r="G29" s="53"/>
      <c r="H29" s="54"/>
      <c r="I29" s="55"/>
      <c r="J29" s="54"/>
      <c r="K29" s="55"/>
      <c r="L29" s="40">
        <f t="shared" si="1"/>
        <v>0</v>
      </c>
      <c r="M29" s="41">
        <f t="shared" si="23"/>
        <v>0</v>
      </c>
      <c r="N29" s="42">
        <f>IF(AND(D29&lt;&gt;"Jour libre 4/5",B29&lt;&gt;"Sa",B29&lt;&gt;"Di"),SUM(N28,Configuration!$H$41),SUM(N28))</f>
        <v>11.71666666666666</v>
      </c>
      <c r="O29" s="49" t="str">
        <f t="shared" si="24"/>
        <v>-</v>
      </c>
      <c r="P29" s="143">
        <f t="shared" si="17"/>
        <v>11.71666666666666</v>
      </c>
      <c r="Q29" s="167">
        <f t="shared" si="18"/>
        <v>0</v>
      </c>
      <c r="R29" s="168">
        <f t="shared" si="18"/>
        <v>0</v>
      </c>
      <c r="S29" s="168">
        <f t="shared" si="18"/>
        <v>0</v>
      </c>
      <c r="T29" s="169">
        <f t="shared" si="18"/>
        <v>0</v>
      </c>
      <c r="U29" s="97">
        <f t="shared" si="2"/>
        <v>0</v>
      </c>
      <c r="V29" s="97">
        <f t="shared" si="3"/>
        <v>0</v>
      </c>
      <c r="W29" s="97">
        <f t="shared" si="4"/>
        <v>0</v>
      </c>
      <c r="X29" s="97">
        <f t="shared" si="5"/>
        <v>0</v>
      </c>
      <c r="Y29" s="209"/>
      <c r="Z29" s="210"/>
      <c r="AA29" s="210"/>
      <c r="AB29" s="128">
        <f>IF(AND(D29="Jour férié semaine",((G29-F29)+(I29-H29)+(K29-J29)=0)),VLOOKUP(D29,Systeemgegevens!$J:$K,2,FALSE),0)</f>
        <v>0</v>
      </c>
      <c r="AC29" s="43">
        <f>IF(AND(NOT(ISERROR(FIND("Congé",D29))),ISERROR(FIND("1/2",D29)),ISERROR(FIND("Synd",D29)),ISERROR(FIND("synd",D29)),(G29-F29+I29-H29+K29-J29)=0),VLOOKUP(D29,Systeemgegevens!$J:$K,2,FALSE),IF(AND(NOT(ISERROR(FIND("1/2 Congé + ",D29))),(G29-F29+I29-H29+K29-J29)=0),VLOOKUP(D29,Systeemgegevens!$J:$K,2,FALSE)/2,IF(AND(NOT(ISERROR(FIND("1/2 Congé",D29))),ISERROR(FIND(" + ",D29)),ISERROR(FIND("1/2 Congé Synd.",D29))),VLOOKUP(D29,Systeemgegevens!$J:$K,2,FALSE),0)))</f>
        <v>0</v>
      </c>
      <c r="AD29" s="43">
        <f>IF(AND(OR(D29="1/2 Congé Synd.",D29="Congé Synd."),((G29-F29)+(I29-H29)+(K29-J29)=0)),VLOOKUP(D29,Systeemgegevens!$J:$K,2,FALSE),IF(AND(D29="1/2 Congé + 1/2 synd.",((G29-F29)+(I29-H29)+(K29-J29)=0)),AC29,0))</f>
        <v>0</v>
      </c>
      <c r="AE29" s="43">
        <f>IF(AND(D29="Jour de pont",((G29-F29)+(I29-H29)+(K29-J29)=0)),VLOOKUP(D29,Systeemgegevens!$J:$K,2,FALSE),0)</f>
        <v>0</v>
      </c>
      <c r="AF29" s="43">
        <f>IF(AND(D29="Jour libre 4/5",AND((G29-F29)+(I29-H29)+(K29-J29)=0)),VLOOKUP(D29,Systeemgegevens!$J:$K,2,FALSE),0)</f>
        <v>0</v>
      </c>
      <c r="AG29" s="118">
        <f>IF(AND(D29&lt;&gt;"",SUM(AB29:AF29)=0,D29&lt;&gt;$AB$4,D29&lt;&gt;$AC$4,D29&lt;&gt;$AE$4,D29&lt;&gt;$AF$4),VLOOKUP(D29,Systeemgegevens!$J:$K,2,FALSE),0)</f>
        <v>0</v>
      </c>
      <c r="AH29" s="119">
        <f t="shared" si="6"/>
        <v>0</v>
      </c>
      <c r="AI29" s="101">
        <f t="shared" si="7"/>
        <v>0</v>
      </c>
      <c r="AJ29" s="118">
        <f t="shared" si="19"/>
        <v>0</v>
      </c>
      <c r="AK29" s="119">
        <f t="shared" si="8"/>
        <v>0</v>
      </c>
      <c r="AL29" s="101">
        <f t="shared" si="9"/>
        <v>0</v>
      </c>
      <c r="AM29" s="43">
        <f t="shared" si="20"/>
        <v>0</v>
      </c>
      <c r="AN29" s="118">
        <f t="shared" si="21"/>
        <v>0</v>
      </c>
      <c r="AO29" s="122">
        <f t="shared" si="10"/>
        <v>0</v>
      </c>
      <c r="AP29" s="107">
        <f t="shared" si="11"/>
        <v>0</v>
      </c>
      <c r="AQ29" s="107">
        <f t="shared" si="12"/>
        <v>0</v>
      </c>
      <c r="AR29" s="123">
        <f t="shared" si="13"/>
        <v>0</v>
      </c>
      <c r="AS29" s="124">
        <f t="shared" si="14"/>
        <v>0</v>
      </c>
      <c r="AT29" s="124">
        <f t="shared" si="15"/>
        <v>0</v>
      </c>
      <c r="AU29" s="124">
        <f t="shared" si="16"/>
        <v>0</v>
      </c>
      <c r="AV29" s="117" t="s">
        <v>16</v>
      </c>
      <c r="AW29" s="129">
        <f>IF(($R$41=AV29)*AND($R$42&lt;&gt;""),VLOOKUP($R$42,'Barèmes police'!$BM$4:$BN$30,2),0)</f>
        <v>0</v>
      </c>
      <c r="AX29" s="145" t="str">
        <f>IF('Types de jours'!F35&lt;&gt;"",'Types de jours'!F35,"")</f>
        <v/>
      </c>
      <c r="AY29" s="146" t="str">
        <f>IF(AX29&lt;&gt;"",'Types de jours'!I35,"")</f>
        <v/>
      </c>
      <c r="AZ29" s="269"/>
      <c r="BA29" s="154"/>
      <c r="BB29" s="154"/>
      <c r="BC29" s="154"/>
      <c r="BD29" s="154"/>
      <c r="BE29" s="154"/>
      <c r="BF29" s="154"/>
    </row>
    <row r="30" spans="1:58" ht="12.75" customHeight="1" x14ac:dyDescent="0.2">
      <c r="A30" s="34"/>
      <c r="B30" s="24" t="str">
        <f t="shared" si="0"/>
        <v>Me</v>
      </c>
      <c r="C30" s="25">
        <f t="shared" si="22"/>
        <v>45588</v>
      </c>
      <c r="D30" s="51"/>
      <c r="E30" s="116"/>
      <c r="F30" s="52"/>
      <c r="G30" s="53"/>
      <c r="H30" s="54"/>
      <c r="I30" s="55"/>
      <c r="J30" s="54"/>
      <c r="K30" s="55"/>
      <c r="L30" s="40">
        <f t="shared" si="1"/>
        <v>0</v>
      </c>
      <c r="M30" s="41">
        <f t="shared" si="23"/>
        <v>0</v>
      </c>
      <c r="N30" s="42">
        <f>IF(AND(D30&lt;&gt;"Jour libre 4/5",B30&lt;&gt;"Sa",B30&lt;&gt;"Di"),SUM(N29,Configuration!$H$41),SUM(N29))</f>
        <v>12.033333333333326</v>
      </c>
      <c r="O30" s="49" t="str">
        <f t="shared" si="24"/>
        <v>-</v>
      </c>
      <c r="P30" s="143">
        <f t="shared" si="17"/>
        <v>12.033333333333326</v>
      </c>
      <c r="Q30" s="167">
        <f t="shared" si="18"/>
        <v>0</v>
      </c>
      <c r="R30" s="168">
        <f t="shared" si="18"/>
        <v>0</v>
      </c>
      <c r="S30" s="168">
        <f t="shared" si="18"/>
        <v>0</v>
      </c>
      <c r="T30" s="169">
        <f t="shared" si="18"/>
        <v>0</v>
      </c>
      <c r="U30" s="97">
        <f t="shared" si="2"/>
        <v>0</v>
      </c>
      <c r="V30" s="97">
        <f t="shared" si="3"/>
        <v>0</v>
      </c>
      <c r="W30" s="97">
        <f t="shared" si="4"/>
        <v>0</v>
      </c>
      <c r="X30" s="97">
        <f t="shared" si="5"/>
        <v>0</v>
      </c>
      <c r="Y30" s="209"/>
      <c r="Z30" s="210"/>
      <c r="AA30" s="210"/>
      <c r="AB30" s="128">
        <f>IF(AND(D30="Jour férié semaine",((G30-F30)+(I30-H30)+(K30-J30)=0)),VLOOKUP(D30,Systeemgegevens!$J:$K,2,FALSE),0)</f>
        <v>0</v>
      </c>
      <c r="AC30" s="43">
        <f>IF(AND(NOT(ISERROR(FIND("Congé",D30))),ISERROR(FIND("1/2",D30)),ISERROR(FIND("Synd",D30)),ISERROR(FIND("synd",D30)),(G30-F30+I30-H30+K30-J30)=0),VLOOKUP(D30,Systeemgegevens!$J:$K,2,FALSE),IF(AND(NOT(ISERROR(FIND("1/2 Congé + ",D30))),(G30-F30+I30-H30+K30-J30)=0),VLOOKUP(D30,Systeemgegevens!$J:$K,2,FALSE)/2,IF(AND(NOT(ISERROR(FIND("1/2 Congé",D30))),ISERROR(FIND(" + ",D30)),ISERROR(FIND("1/2 Congé Synd.",D30))),VLOOKUP(D30,Systeemgegevens!$J:$K,2,FALSE),0)))</f>
        <v>0</v>
      </c>
      <c r="AD30" s="43">
        <f>IF(AND(OR(D30="1/2 Congé Synd.",D30="Congé Synd."),((G30-F30)+(I30-H30)+(K30-J30)=0)),VLOOKUP(D30,Systeemgegevens!$J:$K,2,FALSE),IF(AND(D30="1/2 Congé + 1/2 synd.",((G30-F30)+(I30-H30)+(K30-J30)=0)),AC30,0))</f>
        <v>0</v>
      </c>
      <c r="AE30" s="43">
        <f>IF(AND(D30="Jour de pont",((G30-F30)+(I30-H30)+(K30-J30)=0)),VLOOKUP(D30,Systeemgegevens!$J:$K,2,FALSE),0)</f>
        <v>0</v>
      </c>
      <c r="AF30" s="43">
        <f>IF(AND(D30="Jour libre 4/5",AND((G30-F30)+(I30-H30)+(K30-J30)=0)),VLOOKUP(D30,Systeemgegevens!$J:$K,2,FALSE),0)</f>
        <v>0</v>
      </c>
      <c r="AG30" s="118">
        <f>IF(AND(D30&lt;&gt;"",SUM(AB30:AF30)=0,D30&lt;&gt;$AB$4,D30&lt;&gt;$AC$4,D30&lt;&gt;$AE$4,D30&lt;&gt;$AF$4),VLOOKUP(D30,Systeemgegevens!$J:$K,2,FALSE),0)</f>
        <v>0</v>
      </c>
      <c r="AH30" s="119">
        <f t="shared" si="6"/>
        <v>0</v>
      </c>
      <c r="AI30" s="101">
        <f t="shared" si="7"/>
        <v>0</v>
      </c>
      <c r="AJ30" s="118">
        <f t="shared" si="19"/>
        <v>0</v>
      </c>
      <c r="AK30" s="119">
        <f t="shared" si="8"/>
        <v>0</v>
      </c>
      <c r="AL30" s="101">
        <f t="shared" si="9"/>
        <v>0</v>
      </c>
      <c r="AM30" s="43">
        <f t="shared" si="20"/>
        <v>0</v>
      </c>
      <c r="AN30" s="118">
        <f t="shared" si="21"/>
        <v>0</v>
      </c>
      <c r="AO30" s="122">
        <f t="shared" si="10"/>
        <v>0</v>
      </c>
      <c r="AP30" s="107">
        <f t="shared" si="11"/>
        <v>0</v>
      </c>
      <c r="AQ30" s="107">
        <f t="shared" si="12"/>
        <v>0</v>
      </c>
      <c r="AR30" s="123">
        <f t="shared" si="13"/>
        <v>0</v>
      </c>
      <c r="AS30" s="124">
        <f t="shared" si="14"/>
        <v>0</v>
      </c>
      <c r="AT30" s="124">
        <f t="shared" si="15"/>
        <v>0</v>
      </c>
      <c r="AU30" s="124">
        <f t="shared" si="16"/>
        <v>0</v>
      </c>
      <c r="AV30" s="117" t="s">
        <v>14</v>
      </c>
      <c r="AW30" s="129">
        <f>IF(($R$41=AV30)*AND($R$42&lt;&gt;""),VLOOKUP($R$42,'Barèmes police'!$B$40:$C$66,2),0)</f>
        <v>0</v>
      </c>
      <c r="AX30" s="129"/>
      <c r="AY30" s="129"/>
      <c r="AZ30" s="154"/>
      <c r="BA30" s="154"/>
      <c r="BB30" s="154"/>
      <c r="BC30" s="154"/>
      <c r="BD30" s="154"/>
      <c r="BE30" s="154"/>
      <c r="BF30" s="154"/>
    </row>
    <row r="31" spans="1:58" ht="12.75" customHeight="1" x14ac:dyDescent="0.2">
      <c r="A31" s="34"/>
      <c r="B31" s="24" t="str">
        <f t="shared" si="0"/>
        <v>Je</v>
      </c>
      <c r="C31" s="25">
        <f t="shared" si="22"/>
        <v>45589</v>
      </c>
      <c r="D31" s="51"/>
      <c r="E31" s="116"/>
      <c r="F31" s="52"/>
      <c r="G31" s="53"/>
      <c r="H31" s="52"/>
      <c r="I31" s="53"/>
      <c r="J31" s="54"/>
      <c r="K31" s="55"/>
      <c r="L31" s="40">
        <f t="shared" si="1"/>
        <v>0</v>
      </c>
      <c r="M31" s="41">
        <f t="shared" si="23"/>
        <v>0</v>
      </c>
      <c r="N31" s="42">
        <f>IF(AND(D31&lt;&gt;"Jour libre 4/5",B31&lt;&gt;"Sa",B31&lt;&gt;"Di"),SUM(N30,Configuration!$H$41),SUM(N30))</f>
        <v>12.349999999999993</v>
      </c>
      <c r="O31" s="49" t="str">
        <f t="shared" si="24"/>
        <v>-</v>
      </c>
      <c r="P31" s="143">
        <f t="shared" si="17"/>
        <v>12.349999999999993</v>
      </c>
      <c r="Q31" s="167">
        <f t="shared" si="18"/>
        <v>0</v>
      </c>
      <c r="R31" s="168">
        <f t="shared" si="18"/>
        <v>0</v>
      </c>
      <c r="S31" s="168">
        <f t="shared" si="18"/>
        <v>0</v>
      </c>
      <c r="T31" s="169">
        <f t="shared" si="18"/>
        <v>0</v>
      </c>
      <c r="U31" s="97">
        <f t="shared" si="2"/>
        <v>0</v>
      </c>
      <c r="V31" s="97">
        <f t="shared" si="3"/>
        <v>0</v>
      </c>
      <c r="W31" s="97">
        <f t="shared" si="4"/>
        <v>0</v>
      </c>
      <c r="X31" s="97">
        <f t="shared" si="5"/>
        <v>0</v>
      </c>
      <c r="Y31" s="209"/>
      <c r="Z31" s="210"/>
      <c r="AA31" s="210"/>
      <c r="AB31" s="128">
        <f>IF(AND(D31="Jour férié semaine",((G31-F31)+(I31-H31)+(K31-J31)=0)),VLOOKUP(D31,Systeemgegevens!$J:$K,2,FALSE),0)</f>
        <v>0</v>
      </c>
      <c r="AC31" s="43">
        <f>IF(AND(NOT(ISERROR(FIND("Congé",D31))),ISERROR(FIND("1/2",D31)),ISERROR(FIND("Synd",D31)),ISERROR(FIND("synd",D31)),(G31-F31+I31-H31+K31-J31)=0),VLOOKUP(D31,Systeemgegevens!$J:$K,2,FALSE),IF(AND(NOT(ISERROR(FIND("1/2 Congé + ",D31))),(G31-F31+I31-H31+K31-J31)=0),VLOOKUP(D31,Systeemgegevens!$J:$K,2,FALSE)/2,IF(AND(NOT(ISERROR(FIND("1/2 Congé",D31))),ISERROR(FIND(" + ",D31)),ISERROR(FIND("1/2 Congé Synd.",D31))),VLOOKUP(D31,Systeemgegevens!$J:$K,2,FALSE),0)))</f>
        <v>0</v>
      </c>
      <c r="AD31" s="43">
        <f>IF(AND(OR(D31="1/2 Congé Synd.",D31="Congé Synd."),((G31-F31)+(I31-H31)+(K31-J31)=0)),VLOOKUP(D31,Systeemgegevens!$J:$K,2,FALSE),IF(AND(D31="1/2 Congé + 1/2 synd.",((G31-F31)+(I31-H31)+(K31-J31)=0)),AC31,0))</f>
        <v>0</v>
      </c>
      <c r="AE31" s="43">
        <f>IF(AND(D31="Jour de pont",((G31-F31)+(I31-H31)+(K31-J31)=0)),VLOOKUP(D31,Systeemgegevens!$J:$K,2,FALSE),0)</f>
        <v>0</v>
      </c>
      <c r="AF31" s="43">
        <f>IF(AND(D31="Jour libre 4/5",AND((G31-F31)+(I31-H31)+(K31-J31)=0)),VLOOKUP(D31,Systeemgegevens!$J:$K,2,FALSE),0)</f>
        <v>0</v>
      </c>
      <c r="AG31" s="118">
        <f>IF(AND(D31&lt;&gt;"",SUM(AB31:AF31)=0,D31&lt;&gt;$AB$4,D31&lt;&gt;$AC$4,D31&lt;&gt;$AE$4,D31&lt;&gt;$AF$4),VLOOKUP(D31,Systeemgegevens!$J:$K,2,FALSE),0)</f>
        <v>0</v>
      </c>
      <c r="AH31" s="119">
        <f t="shared" si="6"/>
        <v>0</v>
      </c>
      <c r="AI31" s="101">
        <f t="shared" si="7"/>
        <v>0</v>
      </c>
      <c r="AJ31" s="118">
        <f t="shared" si="19"/>
        <v>0</v>
      </c>
      <c r="AK31" s="119">
        <f t="shared" si="8"/>
        <v>0</v>
      </c>
      <c r="AL31" s="101">
        <f t="shared" si="9"/>
        <v>0</v>
      </c>
      <c r="AM31" s="43">
        <f t="shared" si="20"/>
        <v>0</v>
      </c>
      <c r="AN31" s="118">
        <f t="shared" si="21"/>
        <v>0</v>
      </c>
      <c r="AO31" s="122">
        <f t="shared" si="10"/>
        <v>0</v>
      </c>
      <c r="AP31" s="107">
        <f t="shared" si="11"/>
        <v>0</v>
      </c>
      <c r="AQ31" s="107">
        <f t="shared" si="12"/>
        <v>0</v>
      </c>
      <c r="AR31" s="123">
        <f t="shared" si="13"/>
        <v>0</v>
      </c>
      <c r="AS31" s="124">
        <f t="shared" si="14"/>
        <v>0</v>
      </c>
      <c r="AT31" s="124">
        <f t="shared" si="15"/>
        <v>0</v>
      </c>
      <c r="AU31" s="124">
        <f t="shared" si="16"/>
        <v>0</v>
      </c>
      <c r="AV31" s="117" t="s">
        <v>13</v>
      </c>
      <c r="AW31" s="129">
        <f>IF(($R$41=AV31)*AND($R$42&lt;&gt;""),VLOOKUP($R$42,'Barèmes police'!$E$40:$F$66,2),0)</f>
        <v>0</v>
      </c>
      <c r="AX31" s="129"/>
      <c r="AY31" s="129"/>
      <c r="AZ31" s="154"/>
      <c r="BA31" s="154"/>
      <c r="BB31" s="154"/>
      <c r="BC31" s="154"/>
      <c r="BD31" s="154"/>
      <c r="BE31" s="154"/>
      <c r="BF31" s="154"/>
    </row>
    <row r="32" spans="1:58" ht="12.75" customHeight="1" x14ac:dyDescent="0.2">
      <c r="A32" s="34"/>
      <c r="B32" s="24" t="str">
        <f t="shared" si="0"/>
        <v>Ve</v>
      </c>
      <c r="C32" s="25">
        <f t="shared" si="22"/>
        <v>45590</v>
      </c>
      <c r="D32" s="51"/>
      <c r="E32" s="116"/>
      <c r="F32" s="52"/>
      <c r="G32" s="53"/>
      <c r="H32" s="52"/>
      <c r="I32" s="53"/>
      <c r="J32" s="54"/>
      <c r="K32" s="55"/>
      <c r="L32" s="40">
        <f t="shared" si="1"/>
        <v>0</v>
      </c>
      <c r="M32" s="41">
        <f t="shared" si="23"/>
        <v>0</v>
      </c>
      <c r="N32" s="42">
        <f>IF(AND(D32&lt;&gt;"Jour libre 4/5",B32&lt;&gt;"Sa",B32&lt;&gt;"Di"),SUM(N31,Configuration!$H$41),SUM(N31))</f>
        <v>12.666666666666659</v>
      </c>
      <c r="O32" s="49" t="str">
        <f t="shared" si="24"/>
        <v>-</v>
      </c>
      <c r="P32" s="143">
        <f t="shared" si="17"/>
        <v>12.666666666666659</v>
      </c>
      <c r="Q32" s="167">
        <f t="shared" si="18"/>
        <v>0</v>
      </c>
      <c r="R32" s="168">
        <f t="shared" si="18"/>
        <v>0</v>
      </c>
      <c r="S32" s="168">
        <f t="shared" si="18"/>
        <v>0</v>
      </c>
      <c r="T32" s="169">
        <f t="shared" si="18"/>
        <v>0</v>
      </c>
      <c r="U32" s="97">
        <f t="shared" si="2"/>
        <v>0</v>
      </c>
      <c r="V32" s="97">
        <f t="shared" si="3"/>
        <v>0</v>
      </c>
      <c r="W32" s="97">
        <f t="shared" si="4"/>
        <v>0</v>
      </c>
      <c r="X32" s="97">
        <f t="shared" si="5"/>
        <v>0</v>
      </c>
      <c r="Y32" s="209"/>
      <c r="Z32" s="210"/>
      <c r="AA32" s="210"/>
      <c r="AB32" s="128">
        <f>IF(AND(D32="Jour férié semaine",((G32-F32)+(I32-H32)+(K32-J32)=0)),VLOOKUP(D32,Systeemgegevens!$J:$K,2,FALSE),0)</f>
        <v>0</v>
      </c>
      <c r="AC32" s="43">
        <f>IF(AND(NOT(ISERROR(FIND("Congé",D32))),ISERROR(FIND("1/2",D32)),ISERROR(FIND("Synd",D32)),ISERROR(FIND("synd",D32)),(G32-F32+I32-H32+K32-J32)=0),VLOOKUP(D32,Systeemgegevens!$J:$K,2,FALSE),IF(AND(NOT(ISERROR(FIND("1/2 Congé + ",D32))),(G32-F32+I32-H32+K32-J32)=0),VLOOKUP(D32,Systeemgegevens!$J:$K,2,FALSE)/2,IF(AND(NOT(ISERROR(FIND("1/2 Congé",D32))),ISERROR(FIND(" + ",D32)),ISERROR(FIND("1/2 Congé Synd.",D32))),VLOOKUP(D32,Systeemgegevens!$J:$K,2,FALSE),0)))</f>
        <v>0</v>
      </c>
      <c r="AD32" s="43">
        <f>IF(AND(OR(D32="1/2 Congé Synd.",D32="Congé Synd."),((G32-F32)+(I32-H32)+(K32-J32)=0)),VLOOKUP(D32,Systeemgegevens!$J:$K,2,FALSE),IF(AND(D32="1/2 Congé + 1/2 synd.",((G32-F32)+(I32-H32)+(K32-J32)=0)),AC32,0))</f>
        <v>0</v>
      </c>
      <c r="AE32" s="43">
        <f>IF(AND(D32="Jour de pont",((G32-F32)+(I32-H32)+(K32-J32)=0)),VLOOKUP(D32,Systeemgegevens!$J:$K,2,FALSE),0)</f>
        <v>0</v>
      </c>
      <c r="AF32" s="43">
        <f>IF(AND(D32="Jour libre 4/5",AND((G32-F32)+(I32-H32)+(K32-J32)=0)),VLOOKUP(D32,Systeemgegevens!$J:$K,2,FALSE),0)</f>
        <v>0</v>
      </c>
      <c r="AG32" s="118">
        <f>IF(AND(D32&lt;&gt;"",SUM(AB32:AF32)=0,D32&lt;&gt;$AB$4,D32&lt;&gt;$AC$4,D32&lt;&gt;$AE$4,D32&lt;&gt;$AF$4),VLOOKUP(D32,Systeemgegevens!$J:$K,2,FALSE),0)</f>
        <v>0</v>
      </c>
      <c r="AH32" s="119">
        <f t="shared" si="6"/>
        <v>0</v>
      </c>
      <c r="AI32" s="101">
        <f t="shared" si="7"/>
        <v>0</v>
      </c>
      <c r="AJ32" s="118">
        <f t="shared" si="19"/>
        <v>0</v>
      </c>
      <c r="AK32" s="119">
        <f t="shared" si="8"/>
        <v>0</v>
      </c>
      <c r="AL32" s="101">
        <f t="shared" si="9"/>
        <v>0</v>
      </c>
      <c r="AM32" s="43">
        <f t="shared" si="20"/>
        <v>0</v>
      </c>
      <c r="AN32" s="118">
        <f t="shared" si="21"/>
        <v>0</v>
      </c>
      <c r="AO32" s="122">
        <f t="shared" si="10"/>
        <v>0</v>
      </c>
      <c r="AP32" s="107">
        <f t="shared" si="11"/>
        <v>0</v>
      </c>
      <c r="AQ32" s="107">
        <f t="shared" si="12"/>
        <v>0</v>
      </c>
      <c r="AR32" s="123">
        <f t="shared" si="13"/>
        <v>0</v>
      </c>
      <c r="AS32" s="124">
        <f t="shared" si="14"/>
        <v>0</v>
      </c>
      <c r="AT32" s="124">
        <f t="shared" si="15"/>
        <v>0</v>
      </c>
      <c r="AU32" s="124">
        <f t="shared" si="16"/>
        <v>0</v>
      </c>
      <c r="AV32" s="117" t="s">
        <v>7</v>
      </c>
      <c r="AW32" s="129">
        <f>IF(($R$41=AV32)*AND($R$42&lt;&gt;""),VLOOKUP($R$42,'Barèmes police'!$AC$40:$AD$66,2),0)</f>
        <v>0</v>
      </c>
      <c r="AX32" s="129"/>
      <c r="AY32" s="129"/>
      <c r="AZ32" s="154"/>
      <c r="BA32" s="154"/>
      <c r="BB32" s="154"/>
      <c r="BC32" s="154"/>
      <c r="BD32" s="154"/>
      <c r="BE32" s="154"/>
      <c r="BF32" s="154"/>
    </row>
    <row r="33" spans="1:58" ht="12.75" customHeight="1" x14ac:dyDescent="0.2">
      <c r="A33" s="34"/>
      <c r="B33" s="24" t="str">
        <f t="shared" si="0"/>
        <v>Sa</v>
      </c>
      <c r="C33" s="25">
        <f t="shared" si="22"/>
        <v>45591</v>
      </c>
      <c r="D33" s="51"/>
      <c r="E33" s="116"/>
      <c r="F33" s="52"/>
      <c r="G33" s="53"/>
      <c r="H33" s="54"/>
      <c r="I33" s="55"/>
      <c r="J33" s="54"/>
      <c r="K33" s="55"/>
      <c r="L33" s="40">
        <f t="shared" si="1"/>
        <v>0</v>
      </c>
      <c r="M33" s="41">
        <f t="shared" si="23"/>
        <v>0</v>
      </c>
      <c r="N33" s="42">
        <f>IF(AND(D33&lt;&gt;"Jour libre 4/5",B33&lt;&gt;"Sa",B33&lt;&gt;"Di"),SUM(N32,Configuration!$H$41),SUM(N32))</f>
        <v>12.666666666666659</v>
      </c>
      <c r="O33" s="49" t="str">
        <f t="shared" si="24"/>
        <v>-</v>
      </c>
      <c r="P33" s="143">
        <f t="shared" si="17"/>
        <v>12.666666666666659</v>
      </c>
      <c r="Q33" s="167">
        <f t="shared" si="18"/>
        <v>0</v>
      </c>
      <c r="R33" s="168">
        <f t="shared" si="18"/>
        <v>0</v>
      </c>
      <c r="S33" s="168">
        <f t="shared" si="18"/>
        <v>0</v>
      </c>
      <c r="T33" s="169">
        <f t="shared" si="18"/>
        <v>0</v>
      </c>
      <c r="U33" s="97">
        <f t="shared" si="2"/>
        <v>0</v>
      </c>
      <c r="V33" s="97">
        <f t="shared" si="3"/>
        <v>0</v>
      </c>
      <c r="W33" s="97">
        <f t="shared" si="4"/>
        <v>0</v>
      </c>
      <c r="X33" s="97">
        <f t="shared" si="5"/>
        <v>0</v>
      </c>
      <c r="Y33" s="209"/>
      <c r="Z33" s="210"/>
      <c r="AA33" s="210"/>
      <c r="AB33" s="128">
        <f>IF(AND(D33="Jour férié semaine",((G33-F33)+(I33-H33)+(K33-J33)=0)),VLOOKUP(D33,Systeemgegevens!$J:$K,2,FALSE),0)</f>
        <v>0</v>
      </c>
      <c r="AC33" s="43">
        <f>IF(AND(NOT(ISERROR(FIND("Congé",D33))),ISERROR(FIND("1/2",D33)),ISERROR(FIND("Synd",D33)),ISERROR(FIND("synd",D33)),(G33-F33+I33-H33+K33-J33)=0),VLOOKUP(D33,Systeemgegevens!$J:$K,2,FALSE),IF(AND(NOT(ISERROR(FIND("1/2 Congé + ",D33))),(G33-F33+I33-H33+K33-J33)=0),VLOOKUP(D33,Systeemgegevens!$J:$K,2,FALSE)/2,IF(AND(NOT(ISERROR(FIND("1/2 Congé",D33))),ISERROR(FIND(" + ",D33)),ISERROR(FIND("1/2 Congé Synd.",D33))),VLOOKUP(D33,Systeemgegevens!$J:$K,2,FALSE),0)))</f>
        <v>0</v>
      </c>
      <c r="AD33" s="43">
        <f>IF(AND(OR(D33="1/2 Congé Synd.",D33="Congé Synd."),((G33-F33)+(I33-H33)+(K33-J33)=0)),VLOOKUP(D33,Systeemgegevens!$J:$K,2,FALSE),IF(AND(D33="1/2 Congé + 1/2 synd.",((G33-F33)+(I33-H33)+(K33-J33)=0)),AC33,0))</f>
        <v>0</v>
      </c>
      <c r="AE33" s="43">
        <f>IF(AND(D33="Jour de pont",((G33-F33)+(I33-H33)+(K33-J33)=0)),VLOOKUP(D33,Systeemgegevens!$J:$K,2,FALSE),0)</f>
        <v>0</v>
      </c>
      <c r="AF33" s="43">
        <f>IF(AND(D33="Jour libre 4/5",AND((G33-F33)+(I33-H33)+(K33-J33)=0)),VLOOKUP(D33,Systeemgegevens!$J:$K,2,FALSE),0)</f>
        <v>0</v>
      </c>
      <c r="AG33" s="118">
        <f>IF(AND(D33&lt;&gt;"",SUM(AB33:AF33)=0,D33&lt;&gt;$AB$4,D33&lt;&gt;$AC$4,D33&lt;&gt;$AE$4,D33&lt;&gt;$AF$4),VLOOKUP(D33,Systeemgegevens!$J:$K,2,FALSE),0)</f>
        <v>0</v>
      </c>
      <c r="AH33" s="119">
        <f t="shared" si="6"/>
        <v>0</v>
      </c>
      <c r="AI33" s="101">
        <f t="shared" si="7"/>
        <v>0</v>
      </c>
      <c r="AJ33" s="118">
        <f t="shared" si="19"/>
        <v>0</v>
      </c>
      <c r="AK33" s="119">
        <f t="shared" si="8"/>
        <v>0</v>
      </c>
      <c r="AL33" s="101">
        <f t="shared" si="9"/>
        <v>0</v>
      </c>
      <c r="AM33" s="43">
        <f t="shared" si="20"/>
        <v>0</v>
      </c>
      <c r="AN33" s="118">
        <f t="shared" si="21"/>
        <v>0</v>
      </c>
      <c r="AO33" s="122">
        <f t="shared" si="10"/>
        <v>0</v>
      </c>
      <c r="AP33" s="107">
        <f t="shared" si="11"/>
        <v>0</v>
      </c>
      <c r="AQ33" s="107">
        <f t="shared" si="12"/>
        <v>0</v>
      </c>
      <c r="AR33" s="123">
        <f t="shared" si="13"/>
        <v>0</v>
      </c>
      <c r="AS33" s="124">
        <f t="shared" si="14"/>
        <v>0</v>
      </c>
      <c r="AT33" s="124">
        <f t="shared" si="15"/>
        <v>0</v>
      </c>
      <c r="AU33" s="124">
        <f t="shared" si="16"/>
        <v>0</v>
      </c>
      <c r="AV33" s="117" t="s">
        <v>12</v>
      </c>
      <c r="AW33" s="129">
        <f>IF(($R$41=AV33)*AND($R$42&lt;&gt;""),VLOOKUP($R$42,'Barèmes police'!$H$40:$I$66,2),0)</f>
        <v>0</v>
      </c>
      <c r="AX33" s="129"/>
      <c r="AY33" s="129"/>
      <c r="AZ33" s="154"/>
      <c r="BA33" s="154"/>
      <c r="BB33" s="154"/>
      <c r="BC33" s="154"/>
      <c r="BD33" s="154"/>
      <c r="BE33" s="154"/>
      <c r="BF33" s="154"/>
    </row>
    <row r="34" spans="1:58" ht="12.75" customHeight="1" x14ac:dyDescent="0.2">
      <c r="A34" s="34"/>
      <c r="B34" s="24" t="str">
        <f t="shared" si="0"/>
        <v>Di</v>
      </c>
      <c r="C34" s="25">
        <f t="shared" si="22"/>
        <v>45592</v>
      </c>
      <c r="D34" s="51"/>
      <c r="E34" s="116"/>
      <c r="F34" s="52"/>
      <c r="G34" s="53"/>
      <c r="H34" s="54"/>
      <c r="I34" s="55"/>
      <c r="J34" s="54"/>
      <c r="K34" s="55"/>
      <c r="L34" s="40">
        <f t="shared" si="1"/>
        <v>0</v>
      </c>
      <c r="M34" s="41">
        <f t="shared" si="23"/>
        <v>0</v>
      </c>
      <c r="N34" s="42">
        <f>IF(AND(D34&lt;&gt;"Jour libre 4/5",B34&lt;&gt;"Sa",B34&lt;&gt;"Di"),SUM(N33,Configuration!$H$41),SUM(N33))</f>
        <v>12.666666666666659</v>
      </c>
      <c r="O34" s="49" t="str">
        <f t="shared" si="24"/>
        <v>-</v>
      </c>
      <c r="P34" s="143">
        <f t="shared" si="17"/>
        <v>12.666666666666659</v>
      </c>
      <c r="Q34" s="167">
        <f t="shared" si="18"/>
        <v>0</v>
      </c>
      <c r="R34" s="168">
        <f t="shared" si="18"/>
        <v>0</v>
      </c>
      <c r="S34" s="168">
        <f t="shared" si="18"/>
        <v>0</v>
      </c>
      <c r="T34" s="169">
        <f t="shared" si="18"/>
        <v>0</v>
      </c>
      <c r="U34" s="97">
        <f t="shared" si="2"/>
        <v>0</v>
      </c>
      <c r="V34" s="97">
        <f t="shared" si="3"/>
        <v>0</v>
      </c>
      <c r="W34" s="97">
        <f t="shared" si="4"/>
        <v>0</v>
      </c>
      <c r="X34" s="97">
        <f t="shared" si="5"/>
        <v>0</v>
      </c>
      <c r="Y34" s="209"/>
      <c r="Z34" s="210"/>
      <c r="AA34" s="210"/>
      <c r="AB34" s="128">
        <f>IF(AND(D34="Jour férié semaine",((G34-F34)+(I34-H34)+(K34-J34)=0)),VLOOKUP(D34,Systeemgegevens!$J:$K,2,FALSE),0)</f>
        <v>0</v>
      </c>
      <c r="AC34" s="43">
        <f>IF(AND(NOT(ISERROR(FIND("Congé",D34))),ISERROR(FIND("1/2",D34)),ISERROR(FIND("Synd",D34)),ISERROR(FIND("synd",D34)),(G34-F34+I34-H34+K34-J34)=0),VLOOKUP(D34,Systeemgegevens!$J:$K,2,FALSE),IF(AND(NOT(ISERROR(FIND("1/2 Congé + ",D34))),(G34-F34+I34-H34+K34-J34)=0),VLOOKUP(D34,Systeemgegevens!$J:$K,2,FALSE)/2,IF(AND(NOT(ISERROR(FIND("1/2 Congé",D34))),ISERROR(FIND(" + ",D34)),ISERROR(FIND("1/2 Congé Synd.",D34))),VLOOKUP(D34,Systeemgegevens!$J:$K,2,FALSE),0)))</f>
        <v>0</v>
      </c>
      <c r="AD34" s="43">
        <f>IF(AND(OR(D34="1/2 Congé Synd.",D34="Congé Synd."),((G34-F34)+(I34-H34)+(K34-J34)=0)),VLOOKUP(D34,Systeemgegevens!$J:$K,2,FALSE),IF(AND(D34="1/2 Congé + 1/2 synd.",((G34-F34)+(I34-H34)+(K34-J34)=0)),AC34,0))</f>
        <v>0</v>
      </c>
      <c r="AE34" s="43">
        <f>IF(AND(D34="Jour de pont",((G34-F34)+(I34-H34)+(K34-J34)=0)),VLOOKUP(D34,Systeemgegevens!$J:$K,2,FALSE),0)</f>
        <v>0</v>
      </c>
      <c r="AF34" s="43">
        <f>IF(AND(D34="Jour libre 4/5",AND((G34-F34)+(I34-H34)+(K34-J34)=0)),VLOOKUP(D34,Systeemgegevens!$J:$K,2,FALSE),0)</f>
        <v>0</v>
      </c>
      <c r="AG34" s="118">
        <f>IF(AND(D34&lt;&gt;"",SUM(AB34:AF34)=0,D34&lt;&gt;$AB$4,D34&lt;&gt;$AC$4,D34&lt;&gt;$AE$4,D34&lt;&gt;$AF$4),VLOOKUP(D34,Systeemgegevens!$J:$K,2,FALSE),0)</f>
        <v>0</v>
      </c>
      <c r="AH34" s="119">
        <f t="shared" si="6"/>
        <v>0</v>
      </c>
      <c r="AI34" s="101">
        <f t="shared" si="7"/>
        <v>0</v>
      </c>
      <c r="AJ34" s="118">
        <f t="shared" si="19"/>
        <v>0</v>
      </c>
      <c r="AK34" s="119">
        <f t="shared" si="8"/>
        <v>0</v>
      </c>
      <c r="AL34" s="101">
        <f t="shared" si="9"/>
        <v>0</v>
      </c>
      <c r="AM34" s="43">
        <f t="shared" si="20"/>
        <v>0</v>
      </c>
      <c r="AN34" s="118">
        <f t="shared" si="21"/>
        <v>0</v>
      </c>
      <c r="AO34" s="122">
        <f t="shared" si="10"/>
        <v>0</v>
      </c>
      <c r="AP34" s="107">
        <f t="shared" si="11"/>
        <v>0</v>
      </c>
      <c r="AQ34" s="107">
        <f t="shared" si="12"/>
        <v>0</v>
      </c>
      <c r="AR34" s="123">
        <f t="shared" si="13"/>
        <v>0</v>
      </c>
      <c r="AS34" s="124">
        <f t="shared" si="14"/>
        <v>0</v>
      </c>
      <c r="AT34" s="124">
        <f t="shared" si="15"/>
        <v>0</v>
      </c>
      <c r="AU34" s="124">
        <f t="shared" si="16"/>
        <v>0</v>
      </c>
      <c r="AV34" s="117" t="s">
        <v>6</v>
      </c>
      <c r="AW34" s="129">
        <f>IF(($R$41=AV34)*AND($R$42&lt;&gt;""),VLOOKUP($R$42,'Barèmes police'!$AF$40:$AG$66,2),0)</f>
        <v>0</v>
      </c>
      <c r="AX34" s="129"/>
      <c r="AY34" s="129"/>
      <c r="AZ34" s="154"/>
      <c r="BA34" s="154"/>
      <c r="BB34" s="154"/>
      <c r="BC34" s="154"/>
      <c r="BD34" s="154"/>
      <c r="BE34" s="154"/>
      <c r="BF34" s="154"/>
    </row>
    <row r="35" spans="1:58" ht="12.75" customHeight="1" x14ac:dyDescent="0.2">
      <c r="A35" s="34"/>
      <c r="B35" s="24" t="str">
        <f t="shared" si="0"/>
        <v>Lu</v>
      </c>
      <c r="C35" s="25">
        <f t="shared" si="22"/>
        <v>45593</v>
      </c>
      <c r="D35" s="51"/>
      <c r="E35" s="116"/>
      <c r="F35" s="52"/>
      <c r="G35" s="53"/>
      <c r="H35" s="54"/>
      <c r="I35" s="55"/>
      <c r="J35" s="54"/>
      <c r="K35" s="55"/>
      <c r="L35" s="40">
        <f t="shared" si="1"/>
        <v>0</v>
      </c>
      <c r="M35" s="41">
        <f t="shared" si="23"/>
        <v>0</v>
      </c>
      <c r="N35" s="42">
        <f>IF(AND(D35&lt;&gt;"Jour libre 4/5",B35&lt;&gt;"Sa",B35&lt;&gt;"Di"),SUM(N34,Configuration!$H$41),SUM(N34))</f>
        <v>12.983333333333325</v>
      </c>
      <c r="O35" s="49" t="str">
        <f t="shared" si="24"/>
        <v>-</v>
      </c>
      <c r="P35" s="143">
        <f t="shared" si="17"/>
        <v>12.983333333333325</v>
      </c>
      <c r="Q35" s="167">
        <f t="shared" si="18"/>
        <v>0</v>
      </c>
      <c r="R35" s="168">
        <f t="shared" si="18"/>
        <v>0</v>
      </c>
      <c r="S35" s="168">
        <f t="shared" si="18"/>
        <v>0</v>
      </c>
      <c r="T35" s="169">
        <f t="shared" si="18"/>
        <v>0</v>
      </c>
      <c r="U35" s="97">
        <f t="shared" si="2"/>
        <v>0</v>
      </c>
      <c r="V35" s="97">
        <f t="shared" si="3"/>
        <v>0</v>
      </c>
      <c r="W35" s="97">
        <f t="shared" si="4"/>
        <v>0</v>
      </c>
      <c r="X35" s="97">
        <f t="shared" si="5"/>
        <v>0</v>
      </c>
      <c r="Y35" s="209"/>
      <c r="Z35" s="210"/>
      <c r="AA35" s="210"/>
      <c r="AB35" s="128">
        <f>IF(AND(D35="Jour férié semaine",((G35-F35)+(I35-H35)+(K35-J35)=0)),VLOOKUP(D35,Systeemgegevens!$J:$K,2,FALSE),0)</f>
        <v>0</v>
      </c>
      <c r="AC35" s="43">
        <f>IF(AND(NOT(ISERROR(FIND("Congé",D35))),ISERROR(FIND("1/2",D35)),ISERROR(FIND("Synd",D35)),ISERROR(FIND("synd",D35)),(G35-F35+I35-H35+K35-J35)=0),VLOOKUP(D35,Systeemgegevens!$J:$K,2,FALSE),IF(AND(NOT(ISERROR(FIND("1/2 Congé + ",D35))),(G35-F35+I35-H35+K35-J35)=0),VLOOKUP(D35,Systeemgegevens!$J:$K,2,FALSE)/2,IF(AND(NOT(ISERROR(FIND("1/2 Congé",D35))),ISERROR(FIND(" + ",D35)),ISERROR(FIND("1/2 Congé Synd.",D35))),VLOOKUP(D35,Systeemgegevens!$J:$K,2,FALSE),0)))</f>
        <v>0</v>
      </c>
      <c r="AD35" s="43">
        <f>IF(AND(OR(D35="1/2 Congé Synd.",D35="Congé Synd."),((G35-F35)+(I35-H35)+(K35-J35)=0)),VLOOKUP(D35,Systeemgegevens!$J:$K,2,FALSE),IF(AND(D35="1/2 Congé + 1/2 synd.",((G35-F35)+(I35-H35)+(K35-J35)=0)),AC35,0))</f>
        <v>0</v>
      </c>
      <c r="AE35" s="43">
        <f>IF(AND(D35="Jour de pont",((G35-F35)+(I35-H35)+(K35-J35)=0)),VLOOKUP(D35,Systeemgegevens!$J:$K,2,FALSE),0)</f>
        <v>0</v>
      </c>
      <c r="AF35" s="43">
        <f>IF(AND(D35="Jour libre 4/5",AND((G35-F35)+(I35-H35)+(K35-J35)=0)),VLOOKUP(D35,Systeemgegevens!$J:$K,2,FALSE),0)</f>
        <v>0</v>
      </c>
      <c r="AG35" s="118">
        <f>IF(AND(D35&lt;&gt;"",SUM(AB35:AF35)=0,D35&lt;&gt;$AB$4,D35&lt;&gt;$AC$4,D35&lt;&gt;$AE$4,D35&lt;&gt;$AF$4),VLOOKUP(D35,Systeemgegevens!$J:$K,2,FALSE),0)</f>
        <v>0</v>
      </c>
      <c r="AH35" s="119">
        <f t="shared" si="6"/>
        <v>0</v>
      </c>
      <c r="AI35" s="101">
        <f t="shared" si="7"/>
        <v>0</v>
      </c>
      <c r="AJ35" s="118">
        <f t="shared" si="19"/>
        <v>0</v>
      </c>
      <c r="AK35" s="119">
        <f t="shared" si="8"/>
        <v>0</v>
      </c>
      <c r="AL35" s="101">
        <f t="shared" si="9"/>
        <v>0</v>
      </c>
      <c r="AM35" s="43">
        <f t="shared" si="20"/>
        <v>0</v>
      </c>
      <c r="AN35" s="118">
        <f t="shared" si="21"/>
        <v>0</v>
      </c>
      <c r="AO35" s="122">
        <f t="shared" si="10"/>
        <v>0</v>
      </c>
      <c r="AP35" s="107">
        <f t="shared" si="11"/>
        <v>0</v>
      </c>
      <c r="AQ35" s="107">
        <f t="shared" si="12"/>
        <v>0</v>
      </c>
      <c r="AR35" s="123">
        <f t="shared" si="13"/>
        <v>0</v>
      </c>
      <c r="AS35" s="124">
        <f t="shared" si="14"/>
        <v>0</v>
      </c>
      <c r="AT35" s="124">
        <f t="shared" si="15"/>
        <v>0</v>
      </c>
      <c r="AU35" s="124">
        <f t="shared" si="16"/>
        <v>0</v>
      </c>
      <c r="AV35" s="117" t="s">
        <v>11</v>
      </c>
      <c r="AW35" s="129">
        <f>IF(($R$41=AV35)*AND($R$42&lt;&gt;""),VLOOKUP($R$42,'Barèmes police'!$K$40:$L$66,2),0)</f>
        <v>0</v>
      </c>
      <c r="AX35" s="129"/>
      <c r="AY35" s="129"/>
      <c r="AZ35" s="154"/>
      <c r="BA35" s="154"/>
      <c r="BB35" s="154"/>
      <c r="BC35" s="154"/>
      <c r="BD35" s="154"/>
      <c r="BE35" s="154"/>
      <c r="BF35" s="154"/>
    </row>
    <row r="36" spans="1:58" ht="12.75" customHeight="1" x14ac:dyDescent="0.2">
      <c r="A36" s="34"/>
      <c r="B36" s="24" t="str">
        <f t="shared" si="0"/>
        <v>Ma</v>
      </c>
      <c r="C36" s="25">
        <f t="shared" si="22"/>
        <v>45594</v>
      </c>
      <c r="D36" s="51"/>
      <c r="E36" s="116"/>
      <c r="F36" s="52"/>
      <c r="G36" s="53"/>
      <c r="H36" s="54"/>
      <c r="I36" s="55"/>
      <c r="J36" s="54"/>
      <c r="K36" s="55"/>
      <c r="L36" s="40">
        <f t="shared" si="1"/>
        <v>0</v>
      </c>
      <c r="M36" s="41">
        <f t="shared" si="23"/>
        <v>0</v>
      </c>
      <c r="N36" s="42">
        <f>IF(AND(D36&lt;&gt;"Jour libre 4/5",B36&lt;&gt;"Sa",B36&lt;&gt;"Di"),SUM(N35,Configuration!$H$41),SUM(N35))</f>
        <v>13.299999999999992</v>
      </c>
      <c r="O36" s="49" t="str">
        <f t="shared" si="24"/>
        <v>-</v>
      </c>
      <c r="P36" s="143">
        <f t="shared" si="17"/>
        <v>13.299999999999992</v>
      </c>
      <c r="Q36" s="167">
        <f t="shared" si="18"/>
        <v>0</v>
      </c>
      <c r="R36" s="168">
        <f t="shared" si="18"/>
        <v>0</v>
      </c>
      <c r="S36" s="168">
        <f t="shared" si="18"/>
        <v>0</v>
      </c>
      <c r="T36" s="169">
        <f t="shared" si="18"/>
        <v>0</v>
      </c>
      <c r="U36" s="97">
        <f t="shared" si="2"/>
        <v>0</v>
      </c>
      <c r="V36" s="97">
        <f t="shared" si="3"/>
        <v>0</v>
      </c>
      <c r="W36" s="97">
        <f t="shared" si="4"/>
        <v>0</v>
      </c>
      <c r="X36" s="97">
        <f t="shared" si="5"/>
        <v>0</v>
      </c>
      <c r="Y36" s="209"/>
      <c r="Z36" s="210"/>
      <c r="AA36" s="210"/>
      <c r="AB36" s="128">
        <f>IF(AND(D36="Jour férié semaine",((G36-F36)+(I36-H36)+(K36-J36)=0)),VLOOKUP(D36,Systeemgegevens!$J:$K,2,FALSE),0)</f>
        <v>0</v>
      </c>
      <c r="AC36" s="43">
        <f>IF(AND(NOT(ISERROR(FIND("Congé",D36))),ISERROR(FIND("1/2",D36)),ISERROR(FIND("Synd",D36)),ISERROR(FIND("synd",D36)),(G36-F36+I36-H36+K36-J36)=0),VLOOKUP(D36,Systeemgegevens!$J:$K,2,FALSE),IF(AND(NOT(ISERROR(FIND("1/2 Congé + ",D36))),(G36-F36+I36-H36+K36-J36)=0),VLOOKUP(D36,Systeemgegevens!$J:$K,2,FALSE)/2,IF(AND(NOT(ISERROR(FIND("1/2 Congé",D36))),ISERROR(FIND(" + ",D36)),ISERROR(FIND("1/2 Congé Synd.",D36))),VLOOKUP(D36,Systeemgegevens!$J:$K,2,FALSE),0)))</f>
        <v>0</v>
      </c>
      <c r="AD36" s="43">
        <f>IF(AND(OR(D36="1/2 Congé Synd.",D36="Congé Synd."),((G36-F36)+(I36-H36)+(K36-J36)=0)),VLOOKUP(D36,Systeemgegevens!$J:$K,2,FALSE),IF(AND(D36="1/2 Congé + 1/2 synd.",((G36-F36)+(I36-H36)+(K36-J36)=0)),AC36,0))</f>
        <v>0</v>
      </c>
      <c r="AE36" s="43">
        <f>IF(AND(D36="Jour de pont",((G36-F36)+(I36-H36)+(K36-J36)=0)),VLOOKUP(D36,Systeemgegevens!$J:$K,2,FALSE),0)</f>
        <v>0</v>
      </c>
      <c r="AF36" s="43">
        <f>IF(AND(D36="Jour libre 4/5",AND((G36-F36)+(I36-H36)+(K36-J36)=0)),VLOOKUP(D36,Systeemgegevens!$J:$K,2,FALSE),0)</f>
        <v>0</v>
      </c>
      <c r="AG36" s="118">
        <f>IF(AND(D36&lt;&gt;"",SUM(AB36:AF36)=0,D36&lt;&gt;$AB$4,D36&lt;&gt;$AC$4,D36&lt;&gt;$AE$4,D36&lt;&gt;$AF$4),VLOOKUP(D36,Systeemgegevens!$J:$K,2,FALSE),0)</f>
        <v>0</v>
      </c>
      <c r="AH36" s="119">
        <f t="shared" si="6"/>
        <v>0</v>
      </c>
      <c r="AI36" s="101">
        <f t="shared" si="7"/>
        <v>0</v>
      </c>
      <c r="AJ36" s="118">
        <f t="shared" si="19"/>
        <v>0</v>
      </c>
      <c r="AK36" s="119">
        <f t="shared" si="8"/>
        <v>0</v>
      </c>
      <c r="AL36" s="101">
        <f t="shared" si="9"/>
        <v>0</v>
      </c>
      <c r="AM36" s="43">
        <f t="shared" si="20"/>
        <v>0</v>
      </c>
      <c r="AN36" s="118">
        <f t="shared" si="21"/>
        <v>0</v>
      </c>
      <c r="AO36" s="122">
        <f t="shared" si="10"/>
        <v>0</v>
      </c>
      <c r="AP36" s="107">
        <f t="shared" si="11"/>
        <v>0</v>
      </c>
      <c r="AQ36" s="107">
        <f t="shared" si="12"/>
        <v>0</v>
      </c>
      <c r="AR36" s="123">
        <f t="shared" si="13"/>
        <v>0</v>
      </c>
      <c r="AS36" s="124">
        <f t="shared" si="14"/>
        <v>0</v>
      </c>
      <c r="AT36" s="124">
        <f t="shared" si="15"/>
        <v>0</v>
      </c>
      <c r="AU36" s="124">
        <f t="shared" si="16"/>
        <v>0</v>
      </c>
      <c r="AV36" s="117" t="s">
        <v>2</v>
      </c>
      <c r="AW36" s="129">
        <f>IF(($R$41=AV36)*AND($R$42&lt;&gt;""),VLOOKUP($R$42,'Barèmes police'!$AR$40:$AS$66,2),0)</f>
        <v>0</v>
      </c>
      <c r="AX36" s="129"/>
      <c r="AY36" s="129"/>
      <c r="AZ36" s="154"/>
      <c r="BA36" s="154"/>
      <c r="BB36" s="154"/>
      <c r="BC36" s="154"/>
      <c r="BD36" s="154"/>
      <c r="BE36" s="154"/>
      <c r="BF36" s="154"/>
    </row>
    <row r="37" spans="1:58" ht="12.75" customHeight="1" x14ac:dyDescent="0.2">
      <c r="A37" s="34"/>
      <c r="B37" s="24" t="str">
        <f t="shared" si="0"/>
        <v>Me</v>
      </c>
      <c r="C37" s="25">
        <f t="shared" si="22"/>
        <v>45595</v>
      </c>
      <c r="D37" s="51"/>
      <c r="E37" s="116"/>
      <c r="F37" s="52"/>
      <c r="G37" s="53"/>
      <c r="H37" s="54"/>
      <c r="I37" s="55"/>
      <c r="J37" s="54"/>
      <c r="K37" s="55"/>
      <c r="L37" s="40">
        <f t="shared" si="1"/>
        <v>0</v>
      </c>
      <c r="M37" s="41">
        <f t="shared" si="23"/>
        <v>0</v>
      </c>
      <c r="N37" s="42">
        <f>IF(AND(D37&lt;&gt;"Jour libre 4/5",B37&lt;&gt;"Sa",B37&lt;&gt;"Di"),SUM(N36,Configuration!$H$41),SUM(N36))</f>
        <v>13.616666666666658</v>
      </c>
      <c r="O37" s="49" t="str">
        <f t="shared" si="24"/>
        <v>-</v>
      </c>
      <c r="P37" s="143">
        <f t="shared" si="17"/>
        <v>13.616666666666658</v>
      </c>
      <c r="Q37" s="167">
        <f t="shared" si="18"/>
        <v>0</v>
      </c>
      <c r="R37" s="168">
        <f t="shared" si="18"/>
        <v>0</v>
      </c>
      <c r="S37" s="168">
        <f t="shared" si="18"/>
        <v>0</v>
      </c>
      <c r="T37" s="169">
        <f t="shared" si="18"/>
        <v>0</v>
      </c>
      <c r="U37" s="97">
        <f t="shared" si="2"/>
        <v>0</v>
      </c>
      <c r="V37" s="97">
        <f t="shared" si="3"/>
        <v>0</v>
      </c>
      <c r="W37" s="97">
        <f t="shared" si="4"/>
        <v>0</v>
      </c>
      <c r="X37" s="97">
        <f t="shared" si="5"/>
        <v>0</v>
      </c>
      <c r="Y37" s="209"/>
      <c r="Z37" s="210"/>
      <c r="AA37" s="210"/>
      <c r="AB37" s="128">
        <f>IF(AND(D37="Jour férié semaine",((G37-F37)+(I37-H37)+(K37-J37)=0)),VLOOKUP(D37,Systeemgegevens!$J:$K,2,FALSE),0)</f>
        <v>0</v>
      </c>
      <c r="AC37" s="43">
        <f>IF(AND(NOT(ISERROR(FIND("Congé",D37))),ISERROR(FIND("1/2",D37)),ISERROR(FIND("Synd",D37)),ISERROR(FIND("synd",D37)),(G37-F37+I37-H37+K37-J37)=0),VLOOKUP(D37,Systeemgegevens!$J:$K,2,FALSE),IF(AND(NOT(ISERROR(FIND("1/2 Congé + ",D37))),(G37-F37+I37-H37+K37-J37)=0),VLOOKUP(D37,Systeemgegevens!$J:$K,2,FALSE)/2,IF(AND(NOT(ISERROR(FIND("1/2 Congé",D37))),ISERROR(FIND(" + ",D37)),ISERROR(FIND("1/2 Congé Synd.",D37))),VLOOKUP(D37,Systeemgegevens!$J:$K,2,FALSE),0)))</f>
        <v>0</v>
      </c>
      <c r="AD37" s="43">
        <f>IF(AND(OR(D37="1/2 Congé Synd.",D37="Congé Synd."),((G37-F37)+(I37-H37)+(K37-J37)=0)),VLOOKUP(D37,Systeemgegevens!$J:$K,2,FALSE),IF(AND(D37="1/2 Congé + 1/2 synd.",((G37-F37)+(I37-H37)+(K37-J37)=0)),AC37,0))</f>
        <v>0</v>
      </c>
      <c r="AE37" s="43">
        <f>IF(AND(D37="Jour de pont",((G37-F37)+(I37-H37)+(K37-J37)=0)),VLOOKUP(D37,Systeemgegevens!$J:$K,2,FALSE),0)</f>
        <v>0</v>
      </c>
      <c r="AF37" s="43">
        <f>IF(AND(D37="Jour libre 4/5",AND((G37-F37)+(I37-H37)+(K37-J37)=0)),VLOOKUP(D37,Systeemgegevens!$J:$K,2,FALSE),0)</f>
        <v>0</v>
      </c>
      <c r="AG37" s="118">
        <f>IF(AND(D37&lt;&gt;"",SUM(AB37:AF37)=0,D37&lt;&gt;$AB$4,D37&lt;&gt;$AC$4,D37&lt;&gt;$AE$4,D37&lt;&gt;$AF$4),VLOOKUP(D37,Systeemgegevens!$J:$K,2,FALSE),0)</f>
        <v>0</v>
      </c>
      <c r="AH37" s="119">
        <f t="shared" si="6"/>
        <v>0</v>
      </c>
      <c r="AI37" s="101">
        <f t="shared" si="7"/>
        <v>0</v>
      </c>
      <c r="AJ37" s="118">
        <f t="shared" si="19"/>
        <v>0</v>
      </c>
      <c r="AK37" s="119">
        <f t="shared" si="8"/>
        <v>0</v>
      </c>
      <c r="AL37" s="101">
        <f t="shared" si="9"/>
        <v>0</v>
      </c>
      <c r="AM37" s="43">
        <f t="shared" si="20"/>
        <v>0</v>
      </c>
      <c r="AN37" s="118">
        <f t="shared" si="21"/>
        <v>0</v>
      </c>
      <c r="AO37" s="122">
        <f t="shared" si="10"/>
        <v>0</v>
      </c>
      <c r="AP37" s="107">
        <f t="shared" si="11"/>
        <v>0</v>
      </c>
      <c r="AQ37" s="107">
        <f t="shared" si="12"/>
        <v>0</v>
      </c>
      <c r="AR37" s="123">
        <f t="shared" si="13"/>
        <v>0</v>
      </c>
      <c r="AS37" s="124">
        <f t="shared" si="14"/>
        <v>0</v>
      </c>
      <c r="AT37" s="124">
        <f t="shared" si="15"/>
        <v>0</v>
      </c>
      <c r="AU37" s="124">
        <f t="shared" si="16"/>
        <v>0</v>
      </c>
      <c r="AV37" s="117" t="s">
        <v>269</v>
      </c>
      <c r="AW37" s="129">
        <f>IF(($R$41=AV37)*AND($R$42&lt;&gt;""),VLOOKUP($R$42,'Barèmes police'!$AU$40:$AV$66,2),0)</f>
        <v>0</v>
      </c>
      <c r="AX37" s="129"/>
      <c r="AY37" s="129"/>
      <c r="AZ37" s="154"/>
      <c r="BA37" s="154"/>
      <c r="BB37" s="154"/>
      <c r="BC37" s="154"/>
      <c r="BD37" s="154"/>
      <c r="BE37" s="154"/>
      <c r="BF37" s="154"/>
    </row>
    <row r="38" spans="1:58" ht="12.75" customHeight="1" x14ac:dyDescent="0.2">
      <c r="A38" s="34"/>
      <c r="B38" s="36" t="str">
        <f t="shared" si="0"/>
        <v>Je</v>
      </c>
      <c r="C38" s="25">
        <f t="shared" si="22"/>
        <v>45596</v>
      </c>
      <c r="D38" s="56"/>
      <c r="E38" s="56"/>
      <c r="F38" s="149"/>
      <c r="G38" s="150"/>
      <c r="H38" s="57"/>
      <c r="I38" s="58"/>
      <c r="J38" s="57"/>
      <c r="K38" s="58"/>
      <c r="L38" s="44">
        <f t="shared" si="1"/>
        <v>0</v>
      </c>
      <c r="M38" s="46">
        <f>M37+L38</f>
        <v>0</v>
      </c>
      <c r="N38" s="47">
        <f>IF(AND(D38&lt;&gt;"Jour libre 4/5",B38&lt;&gt;"Sa",B38&lt;&gt;"Di"),SUM(N37,Configuration!$H$41),SUM(N37))</f>
        <v>13.933333333333325</v>
      </c>
      <c r="O38" s="50" t="str">
        <f t="shared" si="24"/>
        <v>-</v>
      </c>
      <c r="P38" s="142">
        <f t="shared" si="17"/>
        <v>13.933333333333325</v>
      </c>
      <c r="Q38" s="170">
        <f t="shared" si="18"/>
        <v>0</v>
      </c>
      <c r="R38" s="171">
        <f t="shared" si="18"/>
        <v>0</v>
      </c>
      <c r="S38" s="171">
        <f t="shared" si="18"/>
        <v>0</v>
      </c>
      <c r="T38" s="172">
        <f t="shared" si="18"/>
        <v>0</v>
      </c>
      <c r="U38" s="98">
        <f t="shared" si="2"/>
        <v>0</v>
      </c>
      <c r="V38" s="98">
        <f t="shared" si="3"/>
        <v>0</v>
      </c>
      <c r="W38" s="98">
        <f t="shared" si="4"/>
        <v>0</v>
      </c>
      <c r="X38" s="98">
        <f t="shared" si="5"/>
        <v>0</v>
      </c>
      <c r="Y38" s="211"/>
      <c r="Z38" s="212"/>
      <c r="AA38" s="212"/>
      <c r="AB38" s="128">
        <f>IF(AND(D38="Jour férié semaine",((G38-F38)+(I38-H38)+(K38-J38)=0)),VLOOKUP(D38,Systeemgegevens!$J:$K,2,FALSE),0)</f>
        <v>0</v>
      </c>
      <c r="AC38" s="43">
        <f>IF(AND(NOT(ISERROR(FIND("Congé",D38))),ISERROR(FIND("1/2",D38)),ISERROR(FIND("Synd",D38)),ISERROR(FIND("synd",D38)),(G38-F38+I38-H38+K38-J38)=0),VLOOKUP(D38,Systeemgegevens!$J:$K,2,FALSE),IF(AND(NOT(ISERROR(FIND("1/2 Congé + ",D38))),(G38-F38+I38-H38+K38-J38)=0),VLOOKUP(D38,Systeemgegevens!$J:$K,2,FALSE)/2,IF(AND(NOT(ISERROR(FIND("1/2 Congé",D38))),ISERROR(FIND(" + ",D38)),ISERROR(FIND("1/2 Congé Synd.",D38))),VLOOKUP(D38,Systeemgegevens!$J:$K,2,FALSE),0)))</f>
        <v>0</v>
      </c>
      <c r="AD38" s="43">
        <f>IF(AND(OR(D38="1/2 Congé Synd.",D38="Congé Synd."),((G38-F38)+(I38-H38)+(K38-J38)=0)),VLOOKUP(D38,Systeemgegevens!$J:$K,2,FALSE),IF(AND(D38="1/2 Congé + 1/2 synd.",((G38-F38)+(I38-H38)+(K38-J38)=0)),AC38,0))</f>
        <v>0</v>
      </c>
      <c r="AE38" s="43">
        <f>IF(AND(D38="Jour de pont",((G38-F38)+(I38-H38)+(K38-J38)=0)),VLOOKUP(D38,Systeemgegevens!$J:$K,2,FALSE),0)</f>
        <v>0</v>
      </c>
      <c r="AF38" s="43">
        <f>IF(AND(D38="Jour libre 4/5",AND((G38-F38)+(I38-H38)+(K38-J38)=0)),VLOOKUP(D38,Systeemgegevens!$J:$K,2,FALSE),0)</f>
        <v>0</v>
      </c>
      <c r="AG38" s="118">
        <f>IF(AND(D38&lt;&gt;"",SUM(AB38:AF38)=0,D38&lt;&gt;$AB$4,D38&lt;&gt;$AC$4,D38&lt;&gt;$AE$4,D38&lt;&gt;$AF$4),VLOOKUP(D38,Systeemgegevens!$J:$K,2,FALSE),0)</f>
        <v>0</v>
      </c>
      <c r="AH38" s="119">
        <f t="shared" si="6"/>
        <v>0</v>
      </c>
      <c r="AI38" s="101">
        <f t="shared" si="7"/>
        <v>0</v>
      </c>
      <c r="AJ38" s="118">
        <f t="shared" si="19"/>
        <v>0</v>
      </c>
      <c r="AK38" s="119">
        <f t="shared" si="8"/>
        <v>0</v>
      </c>
      <c r="AL38" s="101">
        <f t="shared" si="9"/>
        <v>0</v>
      </c>
      <c r="AM38" s="43">
        <f t="shared" si="20"/>
        <v>0</v>
      </c>
      <c r="AN38" s="118">
        <f t="shared" si="21"/>
        <v>0</v>
      </c>
      <c r="AO38" s="122">
        <f t="shared" si="10"/>
        <v>0</v>
      </c>
      <c r="AP38" s="107">
        <f t="shared" si="11"/>
        <v>0</v>
      </c>
      <c r="AQ38" s="107">
        <f t="shared" si="12"/>
        <v>0</v>
      </c>
      <c r="AR38" s="123">
        <f t="shared" si="13"/>
        <v>0</v>
      </c>
      <c r="AS38" s="124">
        <f t="shared" si="14"/>
        <v>0</v>
      </c>
      <c r="AT38" s="124">
        <f t="shared" si="15"/>
        <v>0</v>
      </c>
      <c r="AU38" s="124">
        <f t="shared" si="16"/>
        <v>0</v>
      </c>
      <c r="AX38" s="129"/>
      <c r="AY38" s="129"/>
      <c r="AZ38" s="154"/>
      <c r="BA38" s="154"/>
      <c r="BB38" s="154"/>
      <c r="BC38" s="154"/>
      <c r="BD38" s="154"/>
      <c r="BE38" s="154"/>
      <c r="BF38" s="154"/>
    </row>
    <row r="39" spans="1:58" ht="12.75" customHeight="1" x14ac:dyDescent="0.2">
      <c r="C39" s="281"/>
      <c r="AX39" s="129"/>
      <c r="AY39" s="129"/>
    </row>
    <row r="40" spans="1:58" ht="12.75" customHeight="1" x14ac:dyDescent="0.2">
      <c r="J40" s="215"/>
      <c r="K40" s="215"/>
      <c r="L40" s="215"/>
      <c r="M40" s="216"/>
      <c r="N40" s="215"/>
      <c r="O40" s="217"/>
      <c r="P40" s="215"/>
      <c r="Q40" s="215"/>
      <c r="R40" s="215"/>
      <c r="S40" s="215"/>
      <c r="T40" s="215"/>
      <c r="U40" s="217"/>
      <c r="V40" s="217"/>
      <c r="W40" s="416" t="s">
        <v>212</v>
      </c>
      <c r="X40" s="417"/>
      <c r="Y40" s="23"/>
      <c r="Z40" s="218"/>
      <c r="AA40" s="218"/>
      <c r="AV40" s="117" t="s">
        <v>8</v>
      </c>
      <c r="AW40" s="129">
        <f>IF(($R$41=AV40)*AND($R$42&lt;&gt;""),VLOOKUP($R$42,'Barèmes police'!$Z$40:$AA$66,2),0)</f>
        <v>0</v>
      </c>
      <c r="AX40" s="129"/>
      <c r="AY40" s="129"/>
    </row>
    <row r="41" spans="1:58" ht="12.75" customHeight="1" x14ac:dyDescent="0.2">
      <c r="B41" s="475" t="s">
        <v>201</v>
      </c>
      <c r="C41" s="414"/>
      <c r="D41" s="398"/>
      <c r="E41" s="397" t="s">
        <v>202</v>
      </c>
      <c r="F41" s="398"/>
      <c r="G41" s="414" t="s">
        <v>243</v>
      </c>
      <c r="H41" s="415"/>
      <c r="J41" s="407" t="s">
        <v>240</v>
      </c>
      <c r="K41" s="408"/>
      <c r="L41" s="408"/>
      <c r="M41" s="408"/>
      <c r="N41" s="408"/>
      <c r="O41" s="219"/>
      <c r="P41" s="220"/>
      <c r="Q41" s="220"/>
      <c r="R41" s="405" t="s">
        <v>36</v>
      </c>
      <c r="S41" s="406"/>
      <c r="T41" s="402" t="s">
        <v>213</v>
      </c>
      <c r="U41" s="403"/>
      <c r="V41" s="404"/>
      <c r="W41" s="221">
        <v>1</v>
      </c>
      <c r="X41" s="222" t="s">
        <v>54</v>
      </c>
      <c r="Y41" s="23"/>
      <c r="Z41" s="383" t="s">
        <v>75</v>
      </c>
      <c r="AA41" s="384"/>
      <c r="AV41" s="117" t="s">
        <v>5</v>
      </c>
      <c r="AW41" s="129">
        <f>IF(($R$41=AV41)*AND($R$42&lt;&gt;""),VLOOKUP($R$42,'Barèmes police'!$AI$40:$AJ$66,2),0)</f>
        <v>0</v>
      </c>
      <c r="AX41" s="129"/>
      <c r="AY41" s="129"/>
    </row>
    <row r="42" spans="1:58" ht="12.75" customHeight="1" x14ac:dyDescent="0.2">
      <c r="B42" s="476" t="s">
        <v>205</v>
      </c>
      <c r="C42" s="477"/>
      <c r="D42" s="478"/>
      <c r="E42" s="412">
        <f>Sep!E45</f>
        <v>34</v>
      </c>
      <c r="F42" s="413"/>
      <c r="G42" s="399">
        <f>Sep!G45</f>
        <v>10.766666666666666</v>
      </c>
      <c r="H42" s="399"/>
      <c r="J42" s="223"/>
      <c r="K42" s="224"/>
      <c r="L42" s="224"/>
      <c r="M42" s="224"/>
      <c r="N42" s="224"/>
      <c r="O42" s="225"/>
      <c r="P42" s="226"/>
      <c r="Q42" s="226"/>
      <c r="R42" s="464">
        <v>0</v>
      </c>
      <c r="S42" s="465"/>
      <c r="T42" s="466">
        <f>SUM(AW8:AW201)</f>
        <v>14703.88</v>
      </c>
      <c r="U42" s="467"/>
      <c r="V42" s="468"/>
      <c r="W42" s="213">
        <v>13409.11</v>
      </c>
      <c r="X42" s="214">
        <v>12735.61</v>
      </c>
      <c r="Y42" s="23"/>
      <c r="Z42" s="457">
        <v>2.0398999999999998</v>
      </c>
      <c r="AA42" s="458"/>
      <c r="AV42" s="117" t="s">
        <v>10</v>
      </c>
      <c r="AW42" s="129">
        <f>IF(($R$41=AV42)*AND($R$42&lt;&gt;""),VLOOKUP($R$42,'Barèmes police'!$N$40:$O$66,2),0)</f>
        <v>0</v>
      </c>
      <c r="AX42" s="129"/>
      <c r="AY42" s="129"/>
    </row>
    <row r="43" spans="1:58" ht="12.75" customHeight="1" x14ac:dyDescent="0.2">
      <c r="B43" s="476" t="s">
        <v>203</v>
      </c>
      <c r="C43" s="477"/>
      <c r="D43" s="478"/>
      <c r="E43" s="459">
        <v>0</v>
      </c>
      <c r="F43" s="460"/>
      <c r="G43" s="463">
        <f>E43*Configuration!$H$41</f>
        <v>0</v>
      </c>
      <c r="H43" s="463"/>
      <c r="J43" s="227" t="s">
        <v>215</v>
      </c>
      <c r="K43" s="228"/>
      <c r="L43" s="229"/>
      <c r="M43" s="230">
        <f>IF(MINUTE(SUM(U8:U39))&gt;=30,SUM(U8:U39)+(TIME(1,0,0))-TIME(0,MINUTE(SUM(U8:U39)),0),SUM(U8:U39)-TIME(0,MINUTE(SUM(U8:U39)),0))</f>
        <v>0</v>
      </c>
      <c r="N43" s="219" t="s">
        <v>190</v>
      </c>
      <c r="O43" s="231"/>
      <c r="P43" s="220"/>
      <c r="Q43" s="220"/>
      <c r="R43" s="232"/>
      <c r="S43" s="354">
        <f>IF($R$2="Oui",(M43*AK44*24),0)</f>
        <v>0</v>
      </c>
      <c r="T43" s="355"/>
      <c r="U43" s="355"/>
      <c r="V43" s="233" t="s">
        <v>55</v>
      </c>
      <c r="W43" s="234">
        <f>IF($R$3="Oui",M43*AK49*24,0)</f>
        <v>0</v>
      </c>
      <c r="X43" s="235" t="s">
        <v>55</v>
      </c>
      <c r="Y43" s="23"/>
      <c r="Z43" s="218"/>
      <c r="AA43" s="218"/>
      <c r="AB43" s="352" t="s">
        <v>66</v>
      </c>
      <c r="AC43" s="353"/>
      <c r="AD43" s="353"/>
      <c r="AE43" s="130">
        <f>T42*Z42</f>
        <v>29994.444811999994</v>
      </c>
      <c r="AG43" s="352" t="s">
        <v>64</v>
      </c>
      <c r="AH43" s="353"/>
      <c r="AI43" s="353"/>
      <c r="AJ43" s="353"/>
      <c r="AK43" s="130">
        <f>T42*Z42/1850</f>
        <v>16.213213411891889</v>
      </c>
      <c r="AM43" s="389" t="s">
        <v>163</v>
      </c>
      <c r="AN43" s="390"/>
      <c r="AO43" s="390"/>
      <c r="AP43" s="390"/>
      <c r="AQ43" s="390"/>
      <c r="AR43" s="127"/>
      <c r="AV43" s="18" t="s">
        <v>4</v>
      </c>
      <c r="AW43" s="129">
        <f>IF(($R$41=AV43)*AND($R$42&lt;&gt;""),VLOOKUP($R$42,'Barèmes police'!$AL$40:$AM$66,2),0)</f>
        <v>0</v>
      </c>
      <c r="AX43" s="129"/>
      <c r="AY43" s="129"/>
    </row>
    <row r="44" spans="1:58" ht="12.75" customHeight="1" x14ac:dyDescent="0.2">
      <c r="B44" s="476" t="s">
        <v>260</v>
      </c>
      <c r="C44" s="477"/>
      <c r="D44" s="478"/>
      <c r="E44" s="412">
        <f>SUM(AU8:AU39)</f>
        <v>0</v>
      </c>
      <c r="F44" s="413"/>
      <c r="G44" s="399">
        <f>SUM(AU8:AU39)*Configuration!H41</f>
        <v>0</v>
      </c>
      <c r="H44" s="399"/>
      <c r="J44" s="236" t="s">
        <v>217</v>
      </c>
      <c r="K44" s="237"/>
      <c r="L44" s="238"/>
      <c r="M44" s="239">
        <f>IF(MINUTE(SUM(V8:V39))&gt;=30,SUM(V8:V39)+(TIME(1,0,0))-TIME(0,MINUTE(SUM(V8:V39)),0),SUM(V8:V39)-TIME(0,MINUTE(SUM(V8:V39)),0))</f>
        <v>0</v>
      </c>
      <c r="N44" s="225" t="s">
        <v>190</v>
      </c>
      <c r="O44" s="240"/>
      <c r="P44" s="226"/>
      <c r="Q44" s="226"/>
      <c r="R44" s="232"/>
      <c r="S44" s="354">
        <f>IF($R$2="Oui",M44*AK45*24,0)</f>
        <v>0</v>
      </c>
      <c r="T44" s="355"/>
      <c r="U44" s="355"/>
      <c r="V44" s="233" t="s">
        <v>55</v>
      </c>
      <c r="W44" s="23"/>
      <c r="X44" s="241"/>
      <c r="Y44" s="23"/>
      <c r="Z44" s="377" t="s">
        <v>211</v>
      </c>
      <c r="AA44" s="378"/>
      <c r="AB44" s="358" t="s">
        <v>67</v>
      </c>
      <c r="AC44" s="359"/>
      <c r="AD44" s="359"/>
      <c r="AE44" s="121">
        <f>AE43*0.075</f>
        <v>2249.5833608999997</v>
      </c>
      <c r="AG44" s="358" t="s">
        <v>65</v>
      </c>
      <c r="AH44" s="359"/>
      <c r="AI44" s="359"/>
      <c r="AJ44" s="359"/>
      <c r="AK44" s="136">
        <f>(AK43*0.9645)*AE49</f>
        <v>9.3231635529859105</v>
      </c>
      <c r="AM44" s="391" t="str">
        <f>IF(Configuration!$H$30="Dagen","Aantal dagen beschikbaar:","Aantal uren beschikbaar:")</f>
        <v>Aantal uren beschikbaar:</v>
      </c>
      <c r="AN44" s="392"/>
      <c r="AO44" s="392"/>
      <c r="AP44" s="392"/>
      <c r="AQ44" s="393">
        <f>IF(Configuration!H30="Dagen",Configuration!H45,Configuration!H45)</f>
        <v>99999</v>
      </c>
      <c r="AR44" s="394"/>
      <c r="AV44" s="18" t="s">
        <v>9</v>
      </c>
      <c r="AW44" s="129">
        <f>IF(($R$41=AV44)*AND($R$42&lt;&gt;""),VLOOKUP($R$42,'Barèmes police'!$Q$40:$R$66,2),0)</f>
        <v>0</v>
      </c>
      <c r="AX44" s="129"/>
      <c r="AY44" s="129"/>
    </row>
    <row r="45" spans="1:58" ht="12.75" customHeight="1" x14ac:dyDescent="0.2">
      <c r="B45" s="476" t="s">
        <v>204</v>
      </c>
      <c r="C45" s="477"/>
      <c r="D45" s="478"/>
      <c r="E45" s="412">
        <f>SUM(AC8:AC39)/Configuration!H41</f>
        <v>0</v>
      </c>
      <c r="F45" s="413"/>
      <c r="G45" s="399">
        <f>SUM(AC8:AC39)</f>
        <v>0</v>
      </c>
      <c r="H45" s="399"/>
      <c r="J45" s="236" t="s">
        <v>216</v>
      </c>
      <c r="K45" s="237"/>
      <c r="L45" s="238"/>
      <c r="M45" s="239">
        <f>IF(MINUTE(SUM(W8:W39))&gt;=30,SUM(W8:W39)+(TIME(1,0,0))-TIME(0,MINUTE(SUM(W8:W39)),0),SUM(W8:W39)-TIME(0,MINUTE(SUM(W8:W39)),0))</f>
        <v>0</v>
      </c>
      <c r="N45" s="237" t="s">
        <v>190</v>
      </c>
      <c r="O45" s="225"/>
      <c r="P45" s="225"/>
      <c r="Q45" s="225"/>
      <c r="R45" s="233"/>
      <c r="S45" s="354">
        <f>IF($R$2="Oui",M45*AK46*24,0)</f>
        <v>0</v>
      </c>
      <c r="T45" s="355"/>
      <c r="U45" s="355"/>
      <c r="V45" s="233" t="s">
        <v>55</v>
      </c>
      <c r="W45" s="234"/>
      <c r="X45" s="235"/>
      <c r="Y45" s="23"/>
      <c r="Z45" s="379"/>
      <c r="AA45" s="380"/>
      <c r="AB45" s="358" t="s">
        <v>68</v>
      </c>
      <c r="AC45" s="359"/>
      <c r="AD45" s="359"/>
      <c r="AE45" s="121">
        <f>AE43*0.0355</f>
        <v>1064.8027908259996</v>
      </c>
      <c r="AG45" s="358" t="s">
        <v>77</v>
      </c>
      <c r="AH45" s="359"/>
      <c r="AI45" s="359"/>
      <c r="AJ45" s="359"/>
      <c r="AK45" s="136">
        <f>AK44*0.2</f>
        <v>1.8646327105971823</v>
      </c>
      <c r="AM45" s="391" t="str">
        <f>IF(Configuration!$H$30="Dagen","Opgenomen Congé Synd.dagen:","Opgenomen Congé Synd.uren:")</f>
        <v>Opgenomen Congé Synd.uren:</v>
      </c>
      <c r="AN45" s="392"/>
      <c r="AO45" s="392"/>
      <c r="AP45" s="392"/>
      <c r="AQ45" s="469">
        <f>IF(Configuration!$H$30="Dagen",SUM(AD8:AD39)/Configuration!H41,SUM(AD8:AD39))</f>
        <v>0</v>
      </c>
      <c r="AR45" s="470"/>
      <c r="AV45" s="18" t="s">
        <v>3</v>
      </c>
      <c r="AW45" s="129">
        <f>IF(($R$41=AV45)*AND($R$42&lt;&gt;""),VLOOKUP($R$42,'Barèmes police'!$AO$40:$AP$66,2),0)</f>
        <v>0</v>
      </c>
    </row>
    <row r="46" spans="1:58" ht="12.75" customHeight="1" x14ac:dyDescent="0.2">
      <c r="B46" s="409" t="s">
        <v>254</v>
      </c>
      <c r="C46" s="410"/>
      <c r="D46" s="411"/>
      <c r="E46" s="461">
        <f>E42+E43+E44-E45</f>
        <v>34</v>
      </c>
      <c r="F46" s="462"/>
      <c r="G46" s="400">
        <f>G42+G43+G44-G45</f>
        <v>10.766666666666666</v>
      </c>
      <c r="H46" s="401"/>
      <c r="J46" s="236" t="s">
        <v>218</v>
      </c>
      <c r="K46" s="237"/>
      <c r="L46" s="238"/>
      <c r="M46" s="239">
        <f>IF(MINUTE(SUM(X8:X39))&gt;=30,SUM(X8:X39)+(TIME(1,0,0))-TIME(0,MINUTE(SUM(X8:X39)),0),SUM(X8:X39)-TIME(0,MINUTE(SUM(X8:X39)),0))</f>
        <v>0</v>
      </c>
      <c r="N46" s="237" t="s">
        <v>190</v>
      </c>
      <c r="O46" s="225"/>
      <c r="P46" s="225"/>
      <c r="Q46" s="225"/>
      <c r="R46" s="233"/>
      <c r="S46" s="242"/>
      <c r="T46" s="242"/>
      <c r="U46" s="242"/>
      <c r="V46" s="243"/>
      <c r="W46" s="234">
        <f>IF($R$3="Oui",M46*AK52*24,0)</f>
        <v>0</v>
      </c>
      <c r="X46" s="235" t="s">
        <v>55</v>
      </c>
      <c r="Y46" s="23"/>
      <c r="Z46" s="381">
        <f>AE48</f>
        <v>0.40380000000000005</v>
      </c>
      <c r="AA46" s="382"/>
      <c r="AB46" s="348" t="s">
        <v>69</v>
      </c>
      <c r="AC46" s="349"/>
      <c r="AD46" s="349"/>
      <c r="AE46" s="132">
        <f>AE43-AE44-AE45</f>
        <v>26680.058660273993</v>
      </c>
      <c r="AG46" s="348" t="s">
        <v>78</v>
      </c>
      <c r="AH46" s="349"/>
      <c r="AI46" s="349"/>
      <c r="AJ46" s="349"/>
      <c r="AK46" s="132">
        <f>AK44*0.35</f>
        <v>3.2631072435450683</v>
      </c>
      <c r="AM46" s="375" t="str">
        <f>IF(Configuration!$H$30="Dagen","Resterend aantal dagen:","Resterend aantal uren:")</f>
        <v>Resterend aantal uren:</v>
      </c>
      <c r="AN46" s="376"/>
      <c r="AO46" s="376"/>
      <c r="AP46" s="376"/>
      <c r="AQ46" s="366">
        <f>AQ44-AQ45</f>
        <v>99999</v>
      </c>
      <c r="AR46" s="367"/>
      <c r="AV46" s="18" t="s">
        <v>1</v>
      </c>
      <c r="AW46" s="129">
        <f>IF(($R$41=AV46)*AND($R$42&lt;&gt;""),VLOOKUP($R$42,'Barèmes police'!$T$40:$U$69,2),0)</f>
        <v>0</v>
      </c>
    </row>
    <row r="47" spans="1:58" ht="12.75" customHeight="1" x14ac:dyDescent="0.2">
      <c r="B47" s="23"/>
      <c r="C47" s="23"/>
      <c r="D47" s="23"/>
      <c r="E47" s="23"/>
      <c r="F47" s="23"/>
      <c r="G47" s="23"/>
      <c r="J47" s="236" t="s">
        <v>219</v>
      </c>
      <c r="K47" s="237"/>
      <c r="L47" s="238"/>
      <c r="M47" s="244">
        <f>COUNTIF($Q$8:$Q$38,"1")</f>
        <v>0</v>
      </c>
      <c r="N47" s="225"/>
      <c r="O47" s="362" t="s">
        <v>223</v>
      </c>
      <c r="P47" s="363"/>
      <c r="Q47" s="363"/>
      <c r="R47" s="245">
        <f>COUNTIF($Q$8:$Q$38,"2")</f>
        <v>0</v>
      </c>
      <c r="S47" s="354">
        <f>IF($R$2="Oui",(M47*AE52*Z42+(R47*Z42*2.48)),0)</f>
        <v>0</v>
      </c>
      <c r="T47" s="355"/>
      <c r="U47" s="355"/>
      <c r="V47" s="233" t="s">
        <v>55</v>
      </c>
      <c r="W47" s="234">
        <f>IF($R$3="Oui",(M47*AE52*Z42+(R47*AE52*6.2)),0)</f>
        <v>0</v>
      </c>
      <c r="X47" s="235" t="s">
        <v>55</v>
      </c>
      <c r="Y47" s="23"/>
      <c r="Z47" s="218"/>
      <c r="AA47" s="218"/>
      <c r="AV47" s="18" t="s">
        <v>0</v>
      </c>
      <c r="AW47" s="129">
        <f>IF(($R$41=AV47)*AND($R$42&lt;&gt;""),VLOOKUP($R$42,'Barèmes police'!$W$40:$X$69,2),0)</f>
        <v>0</v>
      </c>
    </row>
    <row r="48" spans="1:58" ht="12.75" customHeight="1" x14ac:dyDescent="0.2">
      <c r="B48" s="368" t="s">
        <v>206</v>
      </c>
      <c r="C48" s="369"/>
      <c r="D48" s="369"/>
      <c r="E48" s="369"/>
      <c r="F48" s="370" t="s">
        <v>179</v>
      </c>
      <c r="G48" s="371"/>
      <c r="J48" s="236" t="s">
        <v>220</v>
      </c>
      <c r="K48" s="237"/>
      <c r="L48" s="238"/>
      <c r="M48" s="244">
        <f>COUNTIF($R$8:$R$38,"1")</f>
        <v>0</v>
      </c>
      <c r="N48" s="225"/>
      <c r="O48" s="362" t="s">
        <v>224</v>
      </c>
      <c r="P48" s="363"/>
      <c r="Q48" s="363"/>
      <c r="R48" s="245">
        <f>COUNTIF($R$8:$R$38,"2")</f>
        <v>0</v>
      </c>
      <c r="S48" s="354">
        <f>IF($R$2="Oui",(M48*AE53*Z42+(R48*Z42*6.2)),0)</f>
        <v>0</v>
      </c>
      <c r="T48" s="355"/>
      <c r="U48" s="355"/>
      <c r="V48" s="233" t="s">
        <v>55</v>
      </c>
      <c r="W48" s="234">
        <f>IF($R$3="Oui",(M48*AE53*Z42+(R48*AE53*6.2)),0)</f>
        <v>0</v>
      </c>
      <c r="X48" s="235" t="s">
        <v>55</v>
      </c>
      <c r="Y48" s="23"/>
      <c r="Z48" s="383" t="s">
        <v>258</v>
      </c>
      <c r="AA48" s="384"/>
      <c r="AB48" s="352" t="s">
        <v>70</v>
      </c>
      <c r="AC48" s="353"/>
      <c r="AD48" s="353"/>
      <c r="AE48" s="134">
        <f>VLOOKUP(AE46,Systeemgegevens!C3:E14,3)/100</f>
        <v>0.40380000000000005</v>
      </c>
      <c r="AG48" s="352" t="s">
        <v>72</v>
      </c>
      <c r="AH48" s="353"/>
      <c r="AI48" s="353"/>
      <c r="AJ48" s="353"/>
      <c r="AK48" s="133">
        <f>X42*1.2434/1850</f>
        <v>8.5597067427027032</v>
      </c>
      <c r="AV48" s="18" t="s">
        <v>61</v>
      </c>
      <c r="AW48" s="129">
        <f>IF(($R$41=AV48)*AND($R$42&lt;&gt;""),VLOOKUP($R$42,'Barèmes police'!$BM$4:$BN$39,2),0)</f>
        <v>0</v>
      </c>
    </row>
    <row r="49" spans="2:49" ht="12.75" customHeight="1" x14ac:dyDescent="0.2">
      <c r="B49" s="17"/>
      <c r="F49" s="17"/>
      <c r="G49" s="17"/>
      <c r="J49" s="236" t="s">
        <v>221</v>
      </c>
      <c r="K49" s="237"/>
      <c r="L49" s="238"/>
      <c r="M49" s="244">
        <f>COUNTIF($S$8:$S$38, "1")</f>
        <v>0</v>
      </c>
      <c r="N49" s="225"/>
      <c r="O49" s="362" t="s">
        <v>225</v>
      </c>
      <c r="P49" s="363"/>
      <c r="Q49" s="363"/>
      <c r="R49" s="245">
        <f>COUNTIF($S$8:$S$38, "2")</f>
        <v>0</v>
      </c>
      <c r="S49" s="354">
        <f>IF($R$2="Oui",(M49*AE54*Z42+(R49*Z42*6.2)),0)</f>
        <v>0</v>
      </c>
      <c r="T49" s="355"/>
      <c r="U49" s="355"/>
      <c r="V49" s="233" t="s">
        <v>55</v>
      </c>
      <c r="W49" s="234">
        <f>IF($R$3="Oui",(M49*AE54*Z42+(R49*AE54*6.2)),0)</f>
        <v>0</v>
      </c>
      <c r="X49" s="235" t="s">
        <v>55</v>
      </c>
      <c r="Y49" s="23"/>
      <c r="Z49" s="364">
        <v>0.23</v>
      </c>
      <c r="AA49" s="365"/>
      <c r="AB49" s="348" t="s">
        <v>71</v>
      </c>
      <c r="AC49" s="349"/>
      <c r="AD49" s="349"/>
      <c r="AE49" s="135">
        <f>1-AE48</f>
        <v>0.59619999999999995</v>
      </c>
      <c r="AG49" s="358" t="s">
        <v>73</v>
      </c>
      <c r="AH49" s="359"/>
      <c r="AI49" s="359"/>
      <c r="AJ49" s="359"/>
      <c r="AK49" s="121">
        <f>AK48*0.9645*AE49*1.45</f>
        <v>7.1370886606880939</v>
      </c>
      <c r="AV49" s="18" t="s">
        <v>263</v>
      </c>
      <c r="AW49" s="218">
        <f>IF(($R$41=AV49)*AND($R$42&lt;&gt;""),VLOOKUP($R$42,'Barèmes police'!$AX$40:$AY$70,2),0)</f>
        <v>0</v>
      </c>
    </row>
    <row r="50" spans="2:49" ht="12.75" customHeight="1" x14ac:dyDescent="0.2">
      <c r="B50" s="372" t="s">
        <v>207</v>
      </c>
      <c r="C50" s="373"/>
      <c r="D50" s="373"/>
      <c r="E50" s="373"/>
      <c r="F50" s="373"/>
      <c r="G50" s="374"/>
      <c r="J50" s="236" t="s">
        <v>222</v>
      </c>
      <c r="K50" s="237"/>
      <c r="L50" s="238"/>
      <c r="M50" s="244">
        <f>COUNTIF($T$8:$T$38,"1")</f>
        <v>0</v>
      </c>
      <c r="N50" s="225"/>
      <c r="O50" s="362" t="s">
        <v>226</v>
      </c>
      <c r="P50" s="363"/>
      <c r="Q50" s="363"/>
      <c r="R50" s="245">
        <f>COUNTIF($T$8:$T$38,"2")</f>
        <v>0</v>
      </c>
      <c r="S50" s="354">
        <f>IF($R$2="Oui",(M50*AE55*Z42+(R50*Z42*3.48)),0)</f>
        <v>0</v>
      </c>
      <c r="T50" s="355"/>
      <c r="U50" s="355"/>
      <c r="V50" s="233" t="s">
        <v>55</v>
      </c>
      <c r="W50" s="234">
        <f>IF($R$3="Oui",(M50*AE55*Z42+(R50*AE55*6.2)),0)</f>
        <v>0</v>
      </c>
      <c r="X50" s="235" t="s">
        <v>55</v>
      </c>
      <c r="Y50" s="23"/>
      <c r="Z50" s="246"/>
      <c r="AA50" s="246"/>
      <c r="AB50" s="148"/>
      <c r="AC50" s="148"/>
      <c r="AD50" s="148"/>
      <c r="AE50" s="153"/>
      <c r="AG50" s="147"/>
      <c r="AH50" s="148"/>
      <c r="AI50" s="148"/>
      <c r="AJ50" s="148"/>
      <c r="AK50" s="121"/>
      <c r="AV50" s="18" t="s">
        <v>264</v>
      </c>
      <c r="AW50" s="218">
        <f>IF(($R$41=AV50)*AND($R$42&lt;&gt;""),VLOOKUP($R$42,'Barèmes police'!$BA$40:$BB$70,2),0)</f>
        <v>0</v>
      </c>
    </row>
    <row r="51" spans="2:49" ht="12.75" customHeight="1" x14ac:dyDescent="0.2">
      <c r="B51" s="395" t="s">
        <v>208</v>
      </c>
      <c r="C51" s="396"/>
      <c r="D51" s="396"/>
      <c r="E51" s="396"/>
      <c r="F51" s="151"/>
      <c r="G51" s="152"/>
      <c r="J51" s="236" t="s">
        <v>227</v>
      </c>
      <c r="K51" s="237"/>
      <c r="L51" s="238"/>
      <c r="M51" s="239">
        <f>IF(P38-F52&gt;=1/49,IF(AND(O38="+",F48="Oui"),IF(MINUTE(P38-F52)&gt;=30,P38-F52+(TIME(1,0,0))-TIME(0,MINUTE(P38-F52),0),P38-F52-TIME(0,MINUTE(P38-F52),0)),0),0)</f>
        <v>0</v>
      </c>
      <c r="N51" s="225" t="s">
        <v>190</v>
      </c>
      <c r="O51" s="360" t="s">
        <v>253</v>
      </c>
      <c r="P51" s="360"/>
      <c r="Q51" s="360"/>
      <c r="R51" s="361"/>
      <c r="S51" s="354">
        <f>IF($R$2="Oui",M51*AK44*24,0)</f>
        <v>0</v>
      </c>
      <c r="T51" s="355"/>
      <c r="U51" s="355"/>
      <c r="V51" s="233" t="s">
        <v>55</v>
      </c>
      <c r="W51" s="234">
        <f>IF($R$3="Oui",M51*AK51*24,0)</f>
        <v>0</v>
      </c>
      <c r="X51" s="235" t="s">
        <v>55</v>
      </c>
      <c r="Y51" s="23"/>
      <c r="Z51" s="246"/>
      <c r="AA51" s="246"/>
      <c r="AG51" s="358" t="s">
        <v>74</v>
      </c>
      <c r="AH51" s="359"/>
      <c r="AI51" s="359"/>
      <c r="AJ51" s="359"/>
      <c r="AK51" s="121">
        <f>(W42*1.2434/1850)*0.9645*AE49</f>
        <v>5.1824281750374874</v>
      </c>
      <c r="AV51" s="18" t="s">
        <v>265</v>
      </c>
      <c r="AW51" s="218">
        <f>IF(($R$41=AV51)*AND($R$42&lt;&gt;""),VLOOKUP($R$42,'Barèmes police'!$BD$40:$BE$70,2),0)</f>
        <v>0</v>
      </c>
    </row>
    <row r="52" spans="2:49" ht="12.75" customHeight="1" x14ac:dyDescent="0.2">
      <c r="B52" s="385" t="s">
        <v>209</v>
      </c>
      <c r="C52" s="386"/>
      <c r="D52" s="386"/>
      <c r="E52" s="386"/>
      <c r="F52" s="356">
        <v>0</v>
      </c>
      <c r="G52" s="357"/>
      <c r="J52" s="236" t="s">
        <v>228</v>
      </c>
      <c r="K52" s="237"/>
      <c r="L52" s="238"/>
      <c r="M52" s="247">
        <f>SUM(AT8:AT39)</f>
        <v>0</v>
      </c>
      <c r="N52" s="225" t="s">
        <v>214</v>
      </c>
      <c r="O52" s="360"/>
      <c r="P52" s="360"/>
      <c r="Q52" s="360"/>
      <c r="R52" s="361"/>
      <c r="S52" s="354">
        <f>IF($R$2="Oui",M52*6.7*Z42,0)</f>
        <v>0</v>
      </c>
      <c r="T52" s="355"/>
      <c r="U52" s="355"/>
      <c r="V52" s="233" t="s">
        <v>55</v>
      </c>
      <c r="W52" s="234">
        <f>IF($R$3="Oui",M52*6.7*Z42,0)</f>
        <v>0</v>
      </c>
      <c r="X52" s="235" t="s">
        <v>55</v>
      </c>
      <c r="Y52" s="23"/>
      <c r="Z52" s="246"/>
      <c r="AA52" s="246"/>
      <c r="AB52" s="352" t="s">
        <v>79</v>
      </c>
      <c r="AC52" s="353"/>
      <c r="AD52" s="353"/>
      <c r="AE52" s="133">
        <v>1.24</v>
      </c>
      <c r="AG52" s="348" t="s">
        <v>76</v>
      </c>
      <c r="AH52" s="349"/>
      <c r="AI52" s="349"/>
      <c r="AJ52" s="349"/>
      <c r="AK52" s="131">
        <f>AK48*0.325*0.9645*AE49</f>
        <v>1.5996922860162968</v>
      </c>
      <c r="AV52" s="18" t="s">
        <v>266</v>
      </c>
      <c r="AW52" s="218">
        <f>IF(($R$41=AV52)*AND($R$42&lt;&gt;""),VLOOKUP($R$42,'Barèmes police'!$BG$40:$BH$70,2),0)</f>
        <v>0</v>
      </c>
    </row>
    <row r="53" spans="2:49" ht="12.75" customHeight="1" x14ac:dyDescent="0.2">
      <c r="B53" s="387" t="s">
        <v>210</v>
      </c>
      <c r="C53" s="388"/>
      <c r="D53" s="388"/>
      <c r="E53" s="388"/>
      <c r="F53" s="350">
        <v>0</v>
      </c>
      <c r="G53" s="351"/>
      <c r="J53" s="236" t="s">
        <v>229</v>
      </c>
      <c r="K53" s="237"/>
      <c r="L53" s="238"/>
      <c r="M53" s="244">
        <f>SUM(Y8:Y39)</f>
        <v>0</v>
      </c>
      <c r="N53" s="237" t="s">
        <v>56</v>
      </c>
      <c r="O53" s="248"/>
      <c r="P53" s="248"/>
      <c r="Q53" s="248"/>
      <c r="R53" s="249"/>
      <c r="S53" s="354">
        <f>IF($R$2="Oui",M53*Z49,0)</f>
        <v>0</v>
      </c>
      <c r="T53" s="355"/>
      <c r="U53" s="355"/>
      <c r="V53" s="233" t="s">
        <v>55</v>
      </c>
      <c r="W53" s="234">
        <f>IF($R$3="Oui",M53*Z49,0)</f>
        <v>0</v>
      </c>
      <c r="X53" s="235" t="s">
        <v>55</v>
      </c>
      <c r="Y53" s="23"/>
      <c r="Z53" s="246"/>
      <c r="AA53" s="246"/>
      <c r="AB53" s="358" t="s">
        <v>80</v>
      </c>
      <c r="AC53" s="359"/>
      <c r="AD53" s="359"/>
      <c r="AE53" s="121">
        <v>2.48</v>
      </c>
    </row>
    <row r="54" spans="2:49" ht="12.75" customHeight="1" x14ac:dyDescent="0.2">
      <c r="J54" s="236" t="s">
        <v>244</v>
      </c>
      <c r="K54" s="237"/>
      <c r="L54" s="238"/>
      <c r="M54" s="239">
        <f>IF(MINUTE(SUM(Z8:Z39))&gt;=30,SUM(Z8:Z39)+(TIME(1,0,0))-TIME(0,MINUTE(SUM(Z8:Z39)),0),SUM(Z8:Z39)-TIME(0,MINUTE(SUM(Z8:Z39)),0))</f>
        <v>0</v>
      </c>
      <c r="N54" s="237" t="s">
        <v>190</v>
      </c>
      <c r="O54" s="248"/>
      <c r="P54" s="248"/>
      <c r="Q54" s="248"/>
      <c r="R54" s="249"/>
      <c r="S54" s="354">
        <f>IF($R$2="Oui",M54*AK54*24,0)</f>
        <v>0</v>
      </c>
      <c r="T54" s="355"/>
      <c r="U54" s="355"/>
      <c r="V54" s="233" t="s">
        <v>55</v>
      </c>
      <c r="W54" s="234">
        <f>IF($R$3="Oui",M54*AK54*24,0)</f>
        <v>0</v>
      </c>
      <c r="X54" s="235" t="s">
        <v>55</v>
      </c>
      <c r="Y54" s="23"/>
      <c r="Z54" s="246"/>
      <c r="AA54" s="246"/>
      <c r="AB54" s="358" t="s">
        <v>81</v>
      </c>
      <c r="AC54" s="359"/>
      <c r="AD54" s="359"/>
      <c r="AE54" s="121">
        <v>2.48</v>
      </c>
      <c r="AG54" s="352" t="s">
        <v>83</v>
      </c>
      <c r="AH54" s="353"/>
      <c r="AI54" s="353"/>
      <c r="AJ54" s="353"/>
      <c r="AK54" s="130">
        <f>AK44/24</f>
        <v>0.38846514804107962</v>
      </c>
    </row>
    <row r="55" spans="2:49" ht="12.75" customHeight="1" x14ac:dyDescent="0.2">
      <c r="J55" s="236" t="s">
        <v>230</v>
      </c>
      <c r="K55" s="237"/>
      <c r="L55" s="238"/>
      <c r="M55" s="239">
        <f>IF(MINUTE(SUM(AA8:AA39))&gt;=30,SUM(AA8:AA39)+(TIME(1,0,0))-TIME(0,MINUTE(SUM(AA8:AA39)),0),SUM(AA8:AA39)-TIME(0,MINUTE(SUM(AA8:AA39)),0))</f>
        <v>0</v>
      </c>
      <c r="N55" s="237" t="s">
        <v>190</v>
      </c>
      <c r="O55" s="248"/>
      <c r="P55" s="248"/>
      <c r="Q55" s="248"/>
      <c r="R55" s="249"/>
      <c r="S55" s="354">
        <f>IF($R$2="Oui",M55*AK55*24,0)</f>
        <v>0</v>
      </c>
      <c r="T55" s="355"/>
      <c r="U55" s="355"/>
      <c r="V55" s="233" t="s">
        <v>55</v>
      </c>
      <c r="W55" s="234">
        <f>IF($R$3="Oui",M55*AK55*24,0)</f>
        <v>0</v>
      </c>
      <c r="X55" s="235" t="s">
        <v>55</v>
      </c>
      <c r="Y55" s="23"/>
      <c r="Z55" s="246"/>
      <c r="AA55" s="246"/>
      <c r="AB55" s="348" t="s">
        <v>82</v>
      </c>
      <c r="AC55" s="349"/>
      <c r="AD55" s="349"/>
      <c r="AE55" s="131">
        <v>1.74</v>
      </c>
      <c r="AG55" s="348" t="s">
        <v>84</v>
      </c>
      <c r="AH55" s="349"/>
      <c r="AI55" s="349"/>
      <c r="AJ55" s="349"/>
      <c r="AK55" s="132">
        <f>AK44/15</f>
        <v>0.62154423686572735</v>
      </c>
    </row>
    <row r="56" spans="2:49" ht="12.75" customHeight="1" x14ac:dyDescent="0.2">
      <c r="J56" s="223" t="s">
        <v>57</v>
      </c>
      <c r="K56" s="224"/>
      <c r="L56" s="250"/>
      <c r="M56" s="251">
        <f>SUM(AS8:AS39)</f>
        <v>0</v>
      </c>
      <c r="N56" s="225" t="s">
        <v>214</v>
      </c>
      <c r="O56" s="252"/>
      <c r="P56" s="252"/>
      <c r="Q56" s="252"/>
      <c r="R56" s="253"/>
      <c r="S56" s="471">
        <f>IF($R$2="Oui",M56*2.81*Z42*AE49,0)</f>
        <v>0</v>
      </c>
      <c r="T56" s="472"/>
      <c r="U56" s="472"/>
      <c r="V56" s="233" t="s">
        <v>55</v>
      </c>
      <c r="W56" s="234">
        <f>IF($R$3="Oui",M56*2.81*Z42*AE49,0)</f>
        <v>0</v>
      </c>
      <c r="X56" s="235" t="s">
        <v>55</v>
      </c>
      <c r="Y56" s="23"/>
      <c r="Z56" s="246"/>
      <c r="AA56" s="246"/>
    </row>
    <row r="57" spans="2:49" ht="12.75" customHeight="1" x14ac:dyDescent="0.2">
      <c r="J57" s="254"/>
      <c r="K57" s="254"/>
      <c r="L57" s="24" t="s">
        <v>261</v>
      </c>
      <c r="M57" s="255"/>
      <c r="N57" s="256"/>
      <c r="O57" s="257"/>
      <c r="P57" s="23"/>
      <c r="Q57" s="258"/>
      <c r="R57" s="259"/>
      <c r="S57" s="473">
        <f>IF($R$2="Oui",SUM(S43:U56),0)</f>
        <v>0</v>
      </c>
      <c r="T57" s="474"/>
      <c r="U57" s="474"/>
      <c r="V57" s="260" t="s">
        <v>55</v>
      </c>
      <c r="W57" s="261">
        <f>IF($R$3="Oui",SUM(W43:W56),0)</f>
        <v>0</v>
      </c>
      <c r="X57" s="262" t="s">
        <v>55</v>
      </c>
      <c r="Y57" s="23"/>
      <c r="Z57" s="246"/>
      <c r="AA57" s="246"/>
    </row>
    <row r="58" spans="2:49" ht="12.75" customHeight="1" x14ac:dyDescent="0.2">
      <c r="Y58" s="17"/>
      <c r="AB58" s="448" t="s">
        <v>164</v>
      </c>
      <c r="AC58" s="449"/>
      <c r="AD58" s="450"/>
    </row>
    <row r="59" spans="2:49" ht="12.75" customHeight="1" x14ac:dyDescent="0.2">
      <c r="AB59" s="451">
        <f>Configuration!$H$30</f>
        <v>0</v>
      </c>
      <c r="AC59" s="452"/>
      <c r="AD59" s="453"/>
    </row>
    <row r="70" spans="48:49" ht="12.75" customHeight="1" x14ac:dyDescent="0.2">
      <c r="AV70" s="141" t="s">
        <v>270</v>
      </c>
      <c r="AW70" s="290">
        <f>IF(($R$41=AV70)*AND($R$42&lt;&gt;""),VLOOKUP($R$42,'Barèmes CALOG'!$B$4:$C$34,2),0)</f>
        <v>0</v>
      </c>
    </row>
    <row r="71" spans="48:49" ht="12.75" customHeight="1" x14ac:dyDescent="0.2">
      <c r="AV71" s="141" t="s">
        <v>271</v>
      </c>
      <c r="AW71" s="290">
        <f>IF(($R$41=AV71)*AND($R$42&lt;&gt;""),VLOOKUP($R$42,'Barèmes CALOG'!$E$4:$F$34,2),0)</f>
        <v>0</v>
      </c>
    </row>
    <row r="72" spans="48:49" ht="12.75" customHeight="1" x14ac:dyDescent="0.2">
      <c r="AV72" s="141" t="s">
        <v>272</v>
      </c>
      <c r="AW72" s="290">
        <f>IF(($R$41=AV72)*AND($R$42&lt;&gt;""),VLOOKUP($R$42,'Barèmes CALOG'!$H$4:$I$34,2),0)</f>
        <v>0</v>
      </c>
    </row>
    <row r="73" spans="48:49" ht="12.75" customHeight="1" x14ac:dyDescent="0.2">
      <c r="AV73" s="141" t="s">
        <v>273</v>
      </c>
      <c r="AW73" s="290">
        <f>IF(($R$41=AV73)*AND($R$42&lt;&gt;""),VLOOKUP($R$42,'Barèmes CALOG'!$K$4:$L$34,2),0)</f>
        <v>0</v>
      </c>
    </row>
    <row r="74" spans="48:49" ht="12.75" customHeight="1" x14ac:dyDescent="0.2">
      <c r="AV74" s="141" t="s">
        <v>274</v>
      </c>
      <c r="AW74" s="290">
        <f>IF(($R$41=AV74)*AND($R$42&lt;&gt;""),VLOOKUP($R$42,'Barèmes CALOG'!$N$4:$O$34,2),0)</f>
        <v>0</v>
      </c>
    </row>
    <row r="75" spans="48:49" ht="12.75" customHeight="1" x14ac:dyDescent="0.2">
      <c r="AV75" s="141" t="s">
        <v>275</v>
      </c>
      <c r="AW75" s="290">
        <f>IF(($R$41=AV75)*AND($R$42&lt;&gt;""),VLOOKUP($R$42,'Barèmes CALOG'!$Q$4:$R$34,2),0)</f>
        <v>0</v>
      </c>
    </row>
    <row r="76" spans="48:49" ht="12.75" customHeight="1" x14ac:dyDescent="0.2">
      <c r="AV76" s="141" t="s">
        <v>276</v>
      </c>
      <c r="AW76" s="290">
        <f>IF(($R$41=AV76)*AND($R$42&lt;&gt;""),VLOOKUP($R$42,'Barèmes CALOG'!$T$4:$U$34,2),0)</f>
        <v>0</v>
      </c>
    </row>
    <row r="77" spans="48:49" ht="12.75" customHeight="1" x14ac:dyDescent="0.2">
      <c r="AV77" s="141" t="s">
        <v>277</v>
      </c>
      <c r="AW77" s="290">
        <f>IF(($R$41=AV77)*AND($R$42&lt;&gt;""),VLOOKUP($R$42,'Barèmes CALOG'!$W$4:$X$34,2),0)</f>
        <v>0</v>
      </c>
    </row>
    <row r="78" spans="48:49" ht="12.75" customHeight="1" x14ac:dyDescent="0.2">
      <c r="AV78" s="141" t="s">
        <v>278</v>
      </c>
      <c r="AW78" s="290">
        <f>IF(($R$41=AV78)*AND($R$42&lt;&gt;""),VLOOKUP($R$42,'Barèmes CALOG'!$Z$4:$AA$34,2),0)</f>
        <v>0</v>
      </c>
    </row>
    <row r="79" spans="48:49" ht="12.75" customHeight="1" x14ac:dyDescent="0.2">
      <c r="AV79" s="141" t="s">
        <v>279</v>
      </c>
      <c r="AW79" s="290">
        <f>IF(($R$41=AV79)*AND($R$42&lt;&gt;""),VLOOKUP($R$42,'Barèmes CALOG'!$AC$4:$AD$34,2),0)</f>
        <v>0</v>
      </c>
    </row>
    <row r="80" spans="48:49" ht="12.75" customHeight="1" x14ac:dyDescent="0.2">
      <c r="AV80" s="141" t="s">
        <v>280</v>
      </c>
      <c r="AW80" s="290">
        <f>IF(($R$41=AV80)*AND($R$42&lt;&gt;""),VLOOKUP($R$42,'Barèmes CALOG'!$AF$4:$AG$34,2),0)</f>
        <v>0</v>
      </c>
    </row>
    <row r="81" spans="48:49" ht="12.75" customHeight="1" x14ac:dyDescent="0.2">
      <c r="AV81" s="141" t="s">
        <v>281</v>
      </c>
      <c r="AW81" s="290">
        <f>IF(($R$41=AV81)*AND($R$42&lt;&gt;""),VLOOKUP($R$42,'Barèmes CALOG'!$AI$4:$AJ$34,2),0)</f>
        <v>0</v>
      </c>
    </row>
    <row r="82" spans="48:49" ht="12.75" customHeight="1" x14ac:dyDescent="0.2">
      <c r="AV82" s="141" t="s">
        <v>282</v>
      </c>
      <c r="AW82" s="290">
        <f>IF(($R$41=AV82)*AND($R$42&lt;&gt;""),VLOOKUP($R$42,'Barèmes CALOG'!$AL$4:$AM$34,2),0)</f>
        <v>0</v>
      </c>
    </row>
    <row r="83" spans="48:49" ht="12.75" customHeight="1" x14ac:dyDescent="0.2">
      <c r="AV83" s="141" t="s">
        <v>283</v>
      </c>
      <c r="AW83" s="290">
        <f>IF(($R$41=AV83)*AND($R$42&lt;&gt;""),VLOOKUP($R$42,'Barèmes CALOG'!$AO$4:$AP$34,2),0)</f>
        <v>0</v>
      </c>
    </row>
    <row r="84" spans="48:49" ht="12.75" customHeight="1" x14ac:dyDescent="0.2">
      <c r="AV84" s="141" t="s">
        <v>284</v>
      </c>
      <c r="AW84" s="290">
        <f>IF(($R$41=AV84)*AND($R$42&lt;&gt;""),VLOOKUP($R$42,'Barèmes CALOG'!$AR$4:$AS$34,2),0)</f>
        <v>0</v>
      </c>
    </row>
    <row r="85" spans="48:49" ht="12.75" customHeight="1" x14ac:dyDescent="0.2">
      <c r="AV85" s="141" t="s">
        <v>285</v>
      </c>
      <c r="AW85" s="290">
        <f>IF(($R$41=AV85)*AND($R$42&lt;&gt;""),VLOOKUP($R$42,'Barèmes CALOG'!$AU$4:$AV$34,2),0)</f>
        <v>0</v>
      </c>
    </row>
    <row r="86" spans="48:49" ht="12.75" customHeight="1" x14ac:dyDescent="0.2">
      <c r="AV86" s="141" t="s">
        <v>286</v>
      </c>
      <c r="AW86" s="290">
        <f>IF(($R$41=AV86)*AND($R$42&lt;&gt;""),VLOOKUP($R$42,'Barèmes CALOG'!$AX$4:$AY$34,2),0)</f>
        <v>0</v>
      </c>
    </row>
    <row r="87" spans="48:49" ht="12.75" customHeight="1" x14ac:dyDescent="0.2">
      <c r="AV87" s="141" t="s">
        <v>287</v>
      </c>
      <c r="AW87" s="290">
        <f>IF(($R$41=AV87)*AND($R$42&lt;&gt;""),VLOOKUP($R$42,'Barèmes CALOG'!$BA$4:$BB$34,2),0)</f>
        <v>0</v>
      </c>
    </row>
    <row r="88" spans="48:49" ht="12.75" customHeight="1" x14ac:dyDescent="0.2">
      <c r="AV88" s="141" t="s">
        <v>288</v>
      </c>
      <c r="AW88" s="290">
        <f>IF(($R$41=AV88)*AND($R$42&lt;&gt;""),VLOOKUP($R$42,'Barèmes CALOG'!$BD$4:$BE$34,2),0)</f>
        <v>0</v>
      </c>
    </row>
    <row r="89" spans="48:49" ht="12.75" customHeight="1" x14ac:dyDescent="0.2">
      <c r="AV89" s="141" t="s">
        <v>289</v>
      </c>
      <c r="AW89" s="290">
        <f>IF(($R$41=AV89)*AND($R$42&lt;&gt;""),VLOOKUP($R$42,'Barèmes CALOG'!$BG$4:$BH$34,2),0)</f>
        <v>0</v>
      </c>
    </row>
    <row r="90" spans="48:49" ht="12.75" customHeight="1" x14ac:dyDescent="0.2">
      <c r="AV90" s="141" t="s">
        <v>290</v>
      </c>
      <c r="AW90" s="290">
        <f>IF(($R$41=AV90)*AND($R$42&lt;&gt;""),VLOOKUP($R$42,'Barèmes CALOG'!$BJ$4:$BK$34,2),0)</f>
        <v>0</v>
      </c>
    </row>
    <row r="91" spans="48:49" ht="12.75" customHeight="1" x14ac:dyDescent="0.2">
      <c r="AV91" s="141" t="s">
        <v>291</v>
      </c>
      <c r="AW91" s="290">
        <f>IF(($R$41=AV91)*AND($R$42&lt;&gt;""),VLOOKUP($R$42,'Barèmes CALOG'!$BM$4:$BN$34,2),0)</f>
        <v>0</v>
      </c>
    </row>
    <row r="92" spans="48:49" ht="12.75" customHeight="1" x14ac:dyDescent="0.2">
      <c r="AV92" s="141" t="s">
        <v>292</v>
      </c>
      <c r="AW92" s="290">
        <f>IF(($R$41=AV92)*AND($R$42&lt;&gt;""),VLOOKUP($R$42,'Barèmes CALOG'!$BP$4:$BQ$34,2),0)</f>
        <v>0</v>
      </c>
    </row>
    <row r="93" spans="48:49" ht="12.75" customHeight="1" x14ac:dyDescent="0.2">
      <c r="AV93" s="141" t="s">
        <v>293</v>
      </c>
      <c r="AW93" s="290">
        <f>IF(($R$41=AV93)*AND($R$42&lt;&gt;""),VLOOKUP($R$42,'Barèmes CALOG'!$BS$4:$BT$34,2),0)</f>
        <v>0</v>
      </c>
    </row>
    <row r="94" spans="48:49" ht="12.75" customHeight="1" x14ac:dyDescent="0.2">
      <c r="AV94" s="141" t="s">
        <v>294</v>
      </c>
      <c r="AW94" s="290">
        <f>IF(($R$41=AV94)*AND($R$42&lt;&gt;""),VLOOKUP($R$42,'Barèmes CALOG'!$BV$4:$BW$34,2),0)</f>
        <v>0</v>
      </c>
    </row>
    <row r="95" spans="48:49" ht="12.75" customHeight="1" x14ac:dyDescent="0.2">
      <c r="AV95" s="141" t="s">
        <v>295</v>
      </c>
      <c r="AW95" s="290">
        <f>IF(($R$41=AV95)*AND($R$42&lt;&gt;""),VLOOKUP($R$42,'Barèmes CALOG'!$BY$4:$BZ$34,2),0)</f>
        <v>0</v>
      </c>
    </row>
    <row r="96" spans="48:49" ht="12.75" customHeight="1" x14ac:dyDescent="0.2">
      <c r="AV96" s="141" t="s">
        <v>296</v>
      </c>
      <c r="AW96" s="290">
        <f>IF(($R$41=AV96)*AND($R$42&lt;&gt;""),VLOOKUP($R$42,'Barèmes CALOG'!$CB$4:$CC$34,2),0)</f>
        <v>0</v>
      </c>
    </row>
    <row r="97" spans="48:49" ht="12.75" customHeight="1" x14ac:dyDescent="0.2">
      <c r="AV97" s="141" t="s">
        <v>297</v>
      </c>
      <c r="AW97" s="290">
        <f>IF(($R$41=AV97)*AND($R$42&lt;&gt;""),VLOOKUP($R$42,'Barèmes CALOG'!$CE$4:$CF$34,2),0)</f>
        <v>0</v>
      </c>
    </row>
    <row r="98" spans="48:49" ht="12.75" customHeight="1" x14ac:dyDescent="0.2">
      <c r="AV98" s="141" t="s">
        <v>298</v>
      </c>
      <c r="AW98" s="290">
        <f>IF(($R$41=AV98)*AND($R$42&lt;&gt;""),VLOOKUP($R$42,'Barèmes CALOG'!$CH$4:$CI$34,2),0)</f>
        <v>0</v>
      </c>
    </row>
    <row r="99" spans="48:49" ht="12.75" customHeight="1" x14ac:dyDescent="0.2">
      <c r="AV99" s="141" t="s">
        <v>299</v>
      </c>
      <c r="AW99" s="290">
        <f>IF(($R$41=AV99)*AND($R$42&lt;&gt;""),VLOOKUP($R$42,'Barèmes CALOG'!$CK$4:$CL$34,2),0)</f>
        <v>0</v>
      </c>
    </row>
    <row r="100" spans="48:49" ht="12.75" customHeight="1" x14ac:dyDescent="0.2">
      <c r="AV100" s="141" t="s">
        <v>300</v>
      </c>
      <c r="AW100" s="290">
        <f>IF(($R$41=AV100)*AND($R$42&lt;&gt;""),VLOOKUP($R$42,'Barèmes CALOG'!$CN$4:$CO$34,2),0)</f>
        <v>0</v>
      </c>
    </row>
    <row r="101" spans="48:49" ht="12.75" customHeight="1" x14ac:dyDescent="0.2">
      <c r="AV101" s="141" t="s">
        <v>301</v>
      </c>
      <c r="AW101" s="290">
        <f>IF(($R$41=AV101)*AND($R$42&lt;&gt;""),VLOOKUP($R$42,'Barèmes CALOG'!$CQ$4:$CR$34,2),0)</f>
        <v>0</v>
      </c>
    </row>
    <row r="102" spans="48:49" ht="12.75" customHeight="1" x14ac:dyDescent="0.2">
      <c r="AV102" s="141" t="s">
        <v>302</v>
      </c>
      <c r="AW102" s="290">
        <f>IF(($R$41=AV102)*AND($R$42&lt;&gt;""),VLOOKUP($R$42,'Barèmes CALOG'!$CT$4:$CU$34,2),0)</f>
        <v>0</v>
      </c>
    </row>
    <row r="103" spans="48:49" ht="12.75" customHeight="1" x14ac:dyDescent="0.2">
      <c r="AV103" s="141" t="s">
        <v>303</v>
      </c>
      <c r="AW103" s="290">
        <f>IF(($R$41=AV103)*AND($R$42&lt;&gt;""),VLOOKUP($R$42,'Barèmes CALOG'!$CW$4:$CX$34,2),0)</f>
        <v>0</v>
      </c>
    </row>
    <row r="104" spans="48:49" ht="12.75" customHeight="1" x14ac:dyDescent="0.2">
      <c r="AV104" s="141" t="s">
        <v>304</v>
      </c>
      <c r="AW104" s="290">
        <f>IF(($R$41=AV104)*AND($R$42&lt;&gt;""),VLOOKUP($R$42,'Barèmes CALOG'!$B$40:$C$70,2),0)</f>
        <v>0</v>
      </c>
    </row>
    <row r="105" spans="48:49" ht="12.75" customHeight="1" x14ac:dyDescent="0.2">
      <c r="AV105" s="141" t="s">
        <v>305</v>
      </c>
      <c r="AW105" s="290">
        <f>IF(($R$41=AV105)*AND($R$42&lt;&gt;""),VLOOKUP($R$42,'Barèmes CALOG'!$E$40:$F$70,2),0)</f>
        <v>0</v>
      </c>
    </row>
    <row r="106" spans="48:49" ht="12.75" customHeight="1" x14ac:dyDescent="0.2">
      <c r="AV106" s="141" t="s">
        <v>306</v>
      </c>
      <c r="AW106" s="290">
        <f>IF(($R$41=AV106)*AND($R$42&lt;&gt;""),VLOOKUP($R$42,'Barèmes CALOG'!$H$40:$I$70,2),0)</f>
        <v>0</v>
      </c>
    </row>
    <row r="107" spans="48:49" ht="12.75" customHeight="1" x14ac:dyDescent="0.2">
      <c r="AV107" s="141" t="s">
        <v>307</v>
      </c>
      <c r="AW107" s="290">
        <f>IF(($R$41=AV107)*AND($R$42&lt;&gt;""),VLOOKUP($R$42,'Barèmes CALOG'!$K$40:$L$70,2),0)</f>
        <v>0</v>
      </c>
    </row>
    <row r="108" spans="48:49" ht="12.75" customHeight="1" x14ac:dyDescent="0.2">
      <c r="AV108" s="141" t="s">
        <v>308</v>
      </c>
      <c r="AW108" s="290">
        <f>IF(($R$41=AV108)*AND($R$42&lt;&gt;""),VLOOKUP($R$42,'Barèmes CALOG'!$N$40:$O$70,2),0)</f>
        <v>0</v>
      </c>
    </row>
    <row r="109" spans="48:49" ht="12.75" customHeight="1" x14ac:dyDescent="0.2">
      <c r="AV109" s="141" t="s">
        <v>309</v>
      </c>
      <c r="AW109" s="290">
        <f>IF(($R$41=AV109)*AND($R$42&lt;&gt;""),VLOOKUP($R$42,'Barèmes CALOG'!$Q$40:$R$70,2),0)</f>
        <v>0</v>
      </c>
    </row>
    <row r="110" spans="48:49" ht="12.75" customHeight="1" x14ac:dyDescent="0.2">
      <c r="AV110" s="141" t="s">
        <v>310</v>
      </c>
      <c r="AW110" s="290">
        <f>IF(($R$41=AV110)*AND($R$42&lt;&gt;""),VLOOKUP($R$42,'Barèmes CALOG'!$T$40:$U$70,2),0)</f>
        <v>0</v>
      </c>
    </row>
    <row r="111" spans="48:49" ht="12.75" customHeight="1" x14ac:dyDescent="0.2">
      <c r="AV111" s="141" t="s">
        <v>311</v>
      </c>
      <c r="AW111" s="290">
        <f>IF(($R$41=AV111)*AND($R$42&lt;&gt;""),VLOOKUP($R$42,'Barèmes CALOG'!$W$40:$X$70,2),0)</f>
        <v>0</v>
      </c>
    </row>
    <row r="112" spans="48:49" ht="12.75" customHeight="1" x14ac:dyDescent="0.2">
      <c r="AV112" s="141" t="s">
        <v>312</v>
      </c>
      <c r="AW112" s="290">
        <f>IF(($R$41=AV112)*AND($R$42&lt;&gt;""),VLOOKUP($R$42,'Barèmes CALOG'!$Z$40:$AA$70,2),0)</f>
        <v>0</v>
      </c>
    </row>
    <row r="113" spans="48:49" ht="12.75" customHeight="1" x14ac:dyDescent="0.2">
      <c r="AV113" s="141" t="s">
        <v>313</v>
      </c>
      <c r="AW113" s="290">
        <f>IF(($R$41=AV113)*AND($R$42&lt;&gt;""),VLOOKUP($R$42,'Barèmes CALOG'!$AC$40:$AD$70,2),0)</f>
        <v>0</v>
      </c>
    </row>
    <row r="114" spans="48:49" ht="12.75" customHeight="1" x14ac:dyDescent="0.2">
      <c r="AV114" s="141" t="s">
        <v>314</v>
      </c>
      <c r="AW114" s="290">
        <f>IF(($R$41=AV114)*AND($R$42&lt;&gt;""),VLOOKUP($R$42,'Barèmes CALOG'!$AF$40:$AG$70,2),0)</f>
        <v>0</v>
      </c>
    </row>
    <row r="115" spans="48:49" ht="12.75" customHeight="1" x14ac:dyDescent="0.2">
      <c r="AV115" s="141" t="s">
        <v>315</v>
      </c>
      <c r="AW115" s="290">
        <f>IF(($R$41=AV115)*AND($R$42&lt;&gt;""),VLOOKUP($R$42,'Barèmes CALOG'!$AI$40:$AJ$70,2),0)</f>
        <v>0</v>
      </c>
    </row>
    <row r="116" spans="48:49" ht="12.75" customHeight="1" x14ac:dyDescent="0.2">
      <c r="AV116" s="141" t="s">
        <v>316</v>
      </c>
      <c r="AW116" s="290">
        <f>IF(($R$41=AV116)*AND($R$42&lt;&gt;""),VLOOKUP($R$42,'Barèmes CALOG'!$AL$40:$AM$70,2),0)</f>
        <v>0</v>
      </c>
    </row>
    <row r="117" spans="48:49" ht="12.75" customHeight="1" x14ac:dyDescent="0.2">
      <c r="AV117" s="141" t="s">
        <v>317</v>
      </c>
      <c r="AW117" s="290">
        <f>IF(($R$41=AV117)*AND($R$42&lt;&gt;""),VLOOKUP($R$42,'Barèmes CALOG'!$AO$40:$AP$70,2),0)</f>
        <v>0</v>
      </c>
    </row>
    <row r="118" spans="48:49" ht="12.75" customHeight="1" x14ac:dyDescent="0.2">
      <c r="AV118" s="141" t="s">
        <v>318</v>
      </c>
      <c r="AW118" s="290">
        <f>IF(($R$41=AV118)*AND($R$42&lt;&gt;""),VLOOKUP($R$42,'Barèmes CALOG'!$AR$40:$AS$70,2),0)</f>
        <v>0</v>
      </c>
    </row>
    <row r="119" spans="48:49" ht="12.75" customHeight="1" x14ac:dyDescent="0.2">
      <c r="AV119" s="141" t="s">
        <v>319</v>
      </c>
      <c r="AW119" s="290">
        <f>IF(($R$41=AV119)*AND($R$42&lt;&gt;""),VLOOKUP($R$42,'Barèmes CALOG'!$AU$40:$AV$70,2),0)</f>
        <v>0</v>
      </c>
    </row>
    <row r="120" spans="48:49" ht="12.75" customHeight="1" x14ac:dyDescent="0.2">
      <c r="AV120" s="141" t="s">
        <v>320</v>
      </c>
      <c r="AW120" s="290">
        <f>IF(($R$41=AV120)*AND($R$42&lt;&gt;""),VLOOKUP($R$42,'Barèmes CALOG'!$AX$40:$AY$70,2),0)</f>
        <v>0</v>
      </c>
    </row>
    <row r="121" spans="48:49" ht="12.75" customHeight="1" x14ac:dyDescent="0.2">
      <c r="AV121" s="141" t="s">
        <v>321</v>
      </c>
      <c r="AW121" s="290">
        <f>IF(($R$41=AV121)*AND($R$42&lt;&gt;""),VLOOKUP($R$42,'Barèmes CALOG'!$BA$40:$BB$70,2),0)</f>
        <v>0</v>
      </c>
    </row>
    <row r="122" spans="48:49" ht="12.75" customHeight="1" x14ac:dyDescent="0.2">
      <c r="AV122" s="141" t="s">
        <v>322</v>
      </c>
      <c r="AW122" s="290">
        <f>IF(($R$41=AV122)*AND($R$42&lt;&gt;""),VLOOKUP($R$42,'Barèmes CALOG'!$BD$40:$BE$70,2),0)</f>
        <v>0</v>
      </c>
    </row>
    <row r="123" spans="48:49" ht="12.75" customHeight="1" x14ac:dyDescent="0.2">
      <c r="AV123" s="141" t="s">
        <v>323</v>
      </c>
      <c r="AW123" s="290">
        <f>IF(($R$41=AV123)*AND($R$42&lt;&gt;""),VLOOKUP($R$42,'Barèmes CALOG'!$BG$40:$BH$70,2),0)</f>
        <v>0</v>
      </c>
    </row>
    <row r="124" spans="48:49" ht="12.75" customHeight="1" x14ac:dyDescent="0.2">
      <c r="AV124" s="141" t="s">
        <v>324</v>
      </c>
      <c r="AW124" s="290">
        <f>IF(($R$41=AV124)*AND($R$42&lt;&gt;""),VLOOKUP($R$42,'Barèmes CALOG'!$BJ$40:$BK$70,2),0)</f>
        <v>0</v>
      </c>
    </row>
    <row r="125" spans="48:49" ht="12.75" customHeight="1" x14ac:dyDescent="0.2">
      <c r="AV125" s="141" t="s">
        <v>325</v>
      </c>
      <c r="AW125" s="290">
        <f>IF(($R$41=AV125)*AND($R$42&lt;&gt;""),VLOOKUP($R$42,'Barèmes CALOG'!$BM$40:$BN$70,2),0)</f>
        <v>0</v>
      </c>
    </row>
    <row r="126" spans="48:49" ht="12.75" customHeight="1" x14ac:dyDescent="0.2">
      <c r="AV126" s="141" t="s">
        <v>326</v>
      </c>
      <c r="AW126" s="290">
        <f>IF(($R$41=AV126)*AND($R$42&lt;&gt;""),VLOOKUP($R$42,'Barèmes CALOG'!$BP$40:$BQ$70,2),0)</f>
        <v>0</v>
      </c>
    </row>
    <row r="127" spans="48:49" ht="12.75" customHeight="1" x14ac:dyDescent="0.2">
      <c r="AV127" s="141" t="s">
        <v>327</v>
      </c>
      <c r="AW127" s="290">
        <f>IF(($R$41=AV127)*AND($R$42&lt;&gt;""),VLOOKUP($R$42,'Barèmes CALOG'!$BS$40:$BT$70,2),0)</f>
        <v>0</v>
      </c>
    </row>
    <row r="128" spans="48:49" ht="12.75" customHeight="1" x14ac:dyDescent="0.2">
      <c r="AV128" s="141" t="s">
        <v>328</v>
      </c>
      <c r="AW128" s="290">
        <f>IF(($R$41=AV128)*AND($R$42&lt;&gt;""),VLOOKUP($R$42,'Barèmes CALOG'!$BV$40:$BW$70,2),0)</f>
        <v>0</v>
      </c>
    </row>
    <row r="129" spans="48:49" ht="12.75" customHeight="1" x14ac:dyDescent="0.2">
      <c r="AV129" s="141" t="s">
        <v>329</v>
      </c>
      <c r="AW129" s="290">
        <f>IF(($R$41=AV129)*AND($R$42&lt;&gt;""),VLOOKUP($R$42,'Barèmes CALOG'!$BY$40:$BZ$70,2),0)</f>
        <v>0</v>
      </c>
    </row>
    <row r="130" spans="48:49" ht="12.75" customHeight="1" x14ac:dyDescent="0.2">
      <c r="AV130" s="141" t="s">
        <v>330</v>
      </c>
      <c r="AW130" s="290">
        <f>IF(($R$41=AV130)*AND($R$42&lt;&gt;""),VLOOKUP($R$42,'Barèmes CALOG'!$CB$40:$CC$70,2),0)</f>
        <v>0</v>
      </c>
    </row>
    <row r="131" spans="48:49" ht="12.75" customHeight="1" x14ac:dyDescent="0.2">
      <c r="AV131" s="141" t="s">
        <v>331</v>
      </c>
      <c r="AW131" s="290">
        <f>IF(($R$41=AV131)*AND($R$42&lt;&gt;""),VLOOKUP($R$42,'Barèmes CALOG'!$CE$40:$CF$70,2),0)</f>
        <v>0</v>
      </c>
    </row>
  </sheetData>
  <sheetProtection password="EC91" sheet="1" objects="1" scenarios="1" selectLockedCells="1"/>
  <mergeCells count="124">
    <mergeCell ref="AB58:AD58"/>
    <mergeCell ref="B53:E53"/>
    <mergeCell ref="F53:G53"/>
    <mergeCell ref="S53:U53"/>
    <mergeCell ref="AB53:AD53"/>
    <mergeCell ref="AB59:AD59"/>
    <mergeCell ref="AG54:AJ54"/>
    <mergeCell ref="S55:U55"/>
    <mergeCell ref="AB55:AD55"/>
    <mergeCell ref="AG55:AJ55"/>
    <mergeCell ref="S56:U56"/>
    <mergeCell ref="S57:U57"/>
    <mergeCell ref="S54:U54"/>
    <mergeCell ref="AB54:AD54"/>
    <mergeCell ref="S52:U52"/>
    <mergeCell ref="AB52:AD52"/>
    <mergeCell ref="AG52:AJ52"/>
    <mergeCell ref="B50:G50"/>
    <mergeCell ref="O50:Q50"/>
    <mergeCell ref="S50:U50"/>
    <mergeCell ref="B51:E51"/>
    <mergeCell ref="S51:U51"/>
    <mergeCell ref="AG51:AJ51"/>
    <mergeCell ref="O51:R51"/>
    <mergeCell ref="B52:E52"/>
    <mergeCell ref="F52:G52"/>
    <mergeCell ref="O52:R52"/>
    <mergeCell ref="O49:Q49"/>
    <mergeCell ref="S49:U49"/>
    <mergeCell ref="AB49:AD49"/>
    <mergeCell ref="AG49:AJ49"/>
    <mergeCell ref="O47:Q47"/>
    <mergeCell ref="S47:U47"/>
    <mergeCell ref="AB48:AD48"/>
    <mergeCell ref="Z48:AA48"/>
    <mergeCell ref="Z49:AA49"/>
    <mergeCell ref="B48:E48"/>
    <mergeCell ref="F48:G48"/>
    <mergeCell ref="O48:Q48"/>
    <mergeCell ref="S48:U48"/>
    <mergeCell ref="AM45:AP45"/>
    <mergeCell ref="AQ45:AR45"/>
    <mergeCell ref="B46:D46"/>
    <mergeCell ref="E46:F46"/>
    <mergeCell ref="G46:H46"/>
    <mergeCell ref="Z46:AA46"/>
    <mergeCell ref="AG48:AJ48"/>
    <mergeCell ref="AB46:AD46"/>
    <mergeCell ref="AG46:AJ46"/>
    <mergeCell ref="AM46:AP46"/>
    <mergeCell ref="AQ46:AR46"/>
    <mergeCell ref="B45:D45"/>
    <mergeCell ref="E45:F45"/>
    <mergeCell ref="G45:H45"/>
    <mergeCell ref="S45:U45"/>
    <mergeCell ref="AB45:AD45"/>
    <mergeCell ref="AG45:AJ45"/>
    <mergeCell ref="B44:D44"/>
    <mergeCell ref="E44:F44"/>
    <mergeCell ref="G44:H44"/>
    <mergeCell ref="S44:U44"/>
    <mergeCell ref="Z44:AA45"/>
    <mergeCell ref="AB44:AD44"/>
    <mergeCell ref="AG44:AJ44"/>
    <mergeCell ref="AM44:AP44"/>
    <mergeCell ref="AQ44:AR44"/>
    <mergeCell ref="B43:D43"/>
    <mergeCell ref="E43:F43"/>
    <mergeCell ref="G43:H43"/>
    <mergeCell ref="S43:U43"/>
    <mergeCell ref="J41:N41"/>
    <mergeCell ref="R41:S41"/>
    <mergeCell ref="AB43:AD43"/>
    <mergeCell ref="AG43:AJ43"/>
    <mergeCell ref="AM43:AQ43"/>
    <mergeCell ref="B42:D42"/>
    <mergeCell ref="E42:F42"/>
    <mergeCell ref="G42:H42"/>
    <mergeCell ref="R42:S42"/>
    <mergeCell ref="T42:V42"/>
    <mergeCell ref="Z42:AA42"/>
    <mergeCell ref="B41:D41"/>
    <mergeCell ref="E41:F41"/>
    <mergeCell ref="G41:H41"/>
    <mergeCell ref="T41:V41"/>
    <mergeCell ref="O7:P7"/>
    <mergeCell ref="AV4:AV7"/>
    <mergeCell ref="AW4:AW7"/>
    <mergeCell ref="AH5:AJ5"/>
    <mergeCell ref="AK5:AN5"/>
    <mergeCell ref="W40:X40"/>
    <mergeCell ref="AF4:AF7"/>
    <mergeCell ref="AS4:AS7"/>
    <mergeCell ref="AO4:AR4"/>
    <mergeCell ref="AT4:AT7"/>
    <mergeCell ref="AU4:AU7"/>
    <mergeCell ref="AG4:AG7"/>
    <mergeCell ref="AE4:AE7"/>
    <mergeCell ref="Z41:AA41"/>
    <mergeCell ref="Z6:Z7"/>
    <mergeCell ref="X6:X7"/>
    <mergeCell ref="AB4:AB7"/>
    <mergeCell ref="AC4:AC7"/>
    <mergeCell ref="AD4:AD7"/>
    <mergeCell ref="J6:K6"/>
    <mergeCell ref="L6:N6"/>
    <mergeCell ref="O6:P6"/>
    <mergeCell ref="Q6:T6"/>
    <mergeCell ref="B6:B7"/>
    <mergeCell ref="C6:C7"/>
    <mergeCell ref="D6:D7"/>
    <mergeCell ref="E6:E7"/>
    <mergeCell ref="F6:G6"/>
    <mergeCell ref="H6:I6"/>
    <mergeCell ref="D2:G2"/>
    <mergeCell ref="I2:L2"/>
    <mergeCell ref="N2:Q2"/>
    <mergeCell ref="R2:S2"/>
    <mergeCell ref="D3:G3"/>
    <mergeCell ref="J3:L3"/>
    <mergeCell ref="N3:Q3"/>
    <mergeCell ref="R3:S3"/>
    <mergeCell ref="D4:G4"/>
    <mergeCell ref="J4:L4"/>
  </mergeCells>
  <conditionalFormatting sqref="B8:AA38">
    <cfRule type="expression" dxfId="5" priority="3" stopIfTrue="1">
      <formula>OR($B8="Sa",$B8="Di",$D8="Jour férié semaine",$D8="Jour de pont")</formula>
    </cfRule>
  </conditionalFormatting>
  <conditionalFormatting sqref="Y8:AA38">
    <cfRule type="expression" dxfId="4" priority="1" stopIfTrue="1">
      <formula>OR($B8="Za",$B8="Zo",$D8="Feestdag week",$D8="Brugdag")</formula>
    </cfRule>
  </conditionalFormatting>
  <dataValidations count="3">
    <dataValidation type="list" allowBlank="1" showInputMessage="1" showErrorMessage="1" sqref="E8:E38" xr:uid="{00000000-0002-0000-0C00-000000000000}">
      <formula1>"M,E,ME"</formula1>
    </dataValidation>
    <dataValidation type="list" allowBlank="1" showInputMessage="1" showErrorMessage="1" sqref="D8:D38" xr:uid="{00000000-0002-0000-0C00-000001000000}">
      <formula1>$AX$8:$AX$29</formula1>
    </dataValidation>
    <dataValidation type="list" allowBlank="1" showInputMessage="1" showErrorMessage="1" sqref="R2:R3 F48" xr:uid="{00000000-0002-0000-0C00-000002000000}">
      <formula1>"Oui,Non"</formula1>
    </dataValidation>
  </dataValidations>
  <pageMargins left="0.7" right="0.7" top="0.75" bottom="0.75" header="0.3" footer="0.3"/>
  <pageSetup paperSize="9" scale="68" fitToWidth="0" orientation="landscape"/>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1:BF131"/>
  <sheetViews>
    <sheetView workbookViewId="0">
      <selection activeCell="D8" sqref="D8"/>
    </sheetView>
  </sheetViews>
  <sheetFormatPr defaultRowHeight="12.75" customHeight="1" x14ac:dyDescent="0.2"/>
  <cols>
    <col min="1" max="1" width="1.42578125" style="17" customWidth="1"/>
    <col min="2" max="2" width="4" style="19" customWidth="1"/>
    <col min="3" max="3" width="6.85546875" style="17" customWidth="1"/>
    <col min="4" max="4" width="17.7109375" style="17" customWidth="1"/>
    <col min="5" max="5" width="4.42578125" style="17" customWidth="1"/>
    <col min="6" max="7" width="5.140625" style="37" customWidth="1"/>
    <col min="8" max="11" width="5.140625" style="17" customWidth="1"/>
    <col min="12" max="12" width="5.7109375" style="19" customWidth="1"/>
    <col min="13" max="13" width="6.28515625" style="19" customWidth="1"/>
    <col min="14" max="14" width="6.140625" style="18" customWidth="1"/>
    <col min="15" max="15" width="2.42578125" style="18" customWidth="1"/>
    <col min="16" max="16" width="6.42578125" style="17" customWidth="1"/>
    <col min="17" max="20" width="2.85546875" style="17" customWidth="1"/>
    <col min="21" max="21" width="5.7109375" style="17" customWidth="1"/>
    <col min="22" max="23" width="7.42578125" style="17" customWidth="1"/>
    <col min="24" max="24" width="7.7109375" style="17" customWidth="1"/>
    <col min="25" max="25" width="5.28515625" style="141" customWidth="1"/>
    <col min="26" max="26" width="6.42578125" style="141" customWidth="1"/>
    <col min="27" max="27" width="7.7109375" style="141" customWidth="1"/>
    <col min="28" max="28" width="7.85546875" style="141" hidden="1" customWidth="1"/>
    <col min="29" max="32" width="12.42578125" style="141" hidden="1" customWidth="1"/>
    <col min="33" max="33" width="8" style="141" hidden="1" customWidth="1"/>
    <col min="34" max="34" width="9.140625" style="141" hidden="1" customWidth="1"/>
    <col min="35" max="45" width="7.7109375" style="141" hidden="1" customWidth="1"/>
    <col min="46" max="48" width="12.140625" style="141" hidden="1" customWidth="1"/>
    <col min="49" max="51" width="9.85546875" style="141" hidden="1" customWidth="1"/>
    <col min="52" max="256" width="11.42578125" style="17" customWidth="1"/>
    <col min="257" max="16384" width="9.140625" style="17"/>
  </cols>
  <sheetData>
    <row r="1" spans="1:58" ht="5.25" customHeight="1" x14ac:dyDescent="0.2"/>
    <row r="2" spans="1:58" ht="12.75" customHeight="1" x14ac:dyDescent="0.2">
      <c r="D2" s="455" t="str">
        <f>CONCATENATE("Utilisateur: ",Configuration!H17)</f>
        <v xml:space="preserve">Utilisateur: </v>
      </c>
      <c r="E2" s="455"/>
      <c r="F2" s="455"/>
      <c r="G2" s="455"/>
      <c r="I2" s="456" t="s">
        <v>174</v>
      </c>
      <c r="J2" s="438"/>
      <c r="K2" s="438"/>
      <c r="L2" s="438"/>
      <c r="M2" s="18"/>
      <c r="N2" s="456" t="s">
        <v>177</v>
      </c>
      <c r="O2" s="438"/>
      <c r="P2" s="438"/>
      <c r="Q2" s="438"/>
      <c r="R2" s="439" t="s">
        <v>179</v>
      </c>
      <c r="S2" s="439"/>
      <c r="T2" s="20"/>
    </row>
    <row r="3" spans="1:58" ht="12.75" customHeight="1" x14ac:dyDescent="0.2">
      <c r="D3" s="440" t="str">
        <f>Configuration!G8</f>
        <v>OTT Tool 2024</v>
      </c>
      <c r="E3" s="440"/>
      <c r="F3" s="440"/>
      <c r="G3" s="440"/>
      <c r="I3" s="26"/>
      <c r="J3" s="438" t="s">
        <v>175</v>
      </c>
      <c r="K3" s="438"/>
      <c r="L3" s="438"/>
      <c r="M3" s="45">
        <f>IF(Oct!$F$48="Oui",Oct!F52,0)</f>
        <v>0</v>
      </c>
      <c r="N3" s="456" t="s">
        <v>178</v>
      </c>
      <c r="O3" s="438"/>
      <c r="P3" s="438"/>
      <c r="Q3" s="438"/>
      <c r="R3" s="439" t="s">
        <v>180</v>
      </c>
      <c r="S3" s="439"/>
      <c r="T3" s="20"/>
    </row>
    <row r="4" spans="1:58" ht="12.75" customHeight="1" x14ac:dyDescent="0.2">
      <c r="D4" s="440" t="s">
        <v>173</v>
      </c>
      <c r="E4" s="440"/>
      <c r="F4" s="440"/>
      <c r="G4" s="440"/>
      <c r="I4" s="20"/>
      <c r="J4" s="438" t="s">
        <v>176</v>
      </c>
      <c r="K4" s="438"/>
      <c r="L4" s="438"/>
      <c r="M4" s="45">
        <f>IF(Oct!$F$48="Oui",Oct!F53,Oct!M4)</f>
        <v>0</v>
      </c>
      <c r="N4" s="21"/>
      <c r="O4" s="19"/>
      <c r="Q4" s="18"/>
      <c r="T4" s="20"/>
      <c r="AB4" s="443" t="s">
        <v>259</v>
      </c>
      <c r="AC4" s="432" t="s">
        <v>160</v>
      </c>
      <c r="AD4" s="432" t="s">
        <v>255</v>
      </c>
      <c r="AE4" s="432" t="s">
        <v>166</v>
      </c>
      <c r="AF4" s="454" t="s">
        <v>168</v>
      </c>
      <c r="AG4" s="429" t="s">
        <v>45</v>
      </c>
      <c r="AJ4" s="121"/>
      <c r="AO4" s="426" t="s">
        <v>48</v>
      </c>
      <c r="AP4" s="427"/>
      <c r="AQ4" s="427"/>
      <c r="AR4" s="428"/>
      <c r="AS4" s="430" t="s">
        <v>52</v>
      </c>
      <c r="AT4" s="431" t="s">
        <v>53</v>
      </c>
      <c r="AU4" s="431" t="s">
        <v>60</v>
      </c>
      <c r="AV4" s="418" t="s">
        <v>62</v>
      </c>
      <c r="AW4" s="432" t="s">
        <v>63</v>
      </c>
    </row>
    <row r="5" spans="1:58" ht="12.75" customHeight="1" x14ac:dyDescent="0.2">
      <c r="B5" s="35"/>
      <c r="AB5" s="443"/>
      <c r="AC5" s="432"/>
      <c r="AD5" s="432"/>
      <c r="AE5" s="432"/>
      <c r="AF5" s="454"/>
      <c r="AG5" s="429"/>
      <c r="AH5" s="426" t="s">
        <v>47</v>
      </c>
      <c r="AI5" s="427"/>
      <c r="AJ5" s="428"/>
      <c r="AK5" s="426" t="s">
        <v>46</v>
      </c>
      <c r="AL5" s="427"/>
      <c r="AM5" s="427"/>
      <c r="AN5" s="428"/>
      <c r="AO5" s="105" t="s">
        <v>49</v>
      </c>
      <c r="AP5" s="94" t="s">
        <v>50</v>
      </c>
      <c r="AQ5" s="94" t="s">
        <v>51</v>
      </c>
      <c r="AR5" s="112" t="s">
        <v>46</v>
      </c>
      <c r="AS5" s="430"/>
      <c r="AT5" s="431"/>
      <c r="AU5" s="431"/>
      <c r="AV5" s="418"/>
      <c r="AW5" s="432"/>
    </row>
    <row r="6" spans="1:58" ht="12.75" customHeight="1" x14ac:dyDescent="0.2">
      <c r="A6" s="34"/>
      <c r="B6" s="419" t="s">
        <v>181</v>
      </c>
      <c r="C6" s="421" t="s">
        <v>182</v>
      </c>
      <c r="D6" s="421" t="s">
        <v>183</v>
      </c>
      <c r="E6" s="423" t="s">
        <v>184</v>
      </c>
      <c r="F6" s="446" t="s">
        <v>111</v>
      </c>
      <c r="G6" s="447"/>
      <c r="H6" s="433" t="s">
        <v>111</v>
      </c>
      <c r="I6" s="434"/>
      <c r="J6" s="433" t="s">
        <v>111</v>
      </c>
      <c r="K6" s="434"/>
      <c r="L6" s="433" t="s">
        <v>185</v>
      </c>
      <c r="M6" s="435"/>
      <c r="N6" s="434"/>
      <c r="O6" s="436" t="s">
        <v>41</v>
      </c>
      <c r="P6" s="437"/>
      <c r="Q6" s="433" t="s">
        <v>189</v>
      </c>
      <c r="R6" s="435"/>
      <c r="S6" s="435"/>
      <c r="T6" s="434"/>
      <c r="U6" s="27" t="s">
        <v>190</v>
      </c>
      <c r="V6" s="27" t="s">
        <v>191</v>
      </c>
      <c r="W6" s="27" t="s">
        <v>191</v>
      </c>
      <c r="X6" s="444" t="s">
        <v>192</v>
      </c>
      <c r="Y6" s="137" t="s">
        <v>195</v>
      </c>
      <c r="Z6" s="421" t="s">
        <v>245</v>
      </c>
      <c r="AA6" s="137" t="s">
        <v>246</v>
      </c>
      <c r="AB6" s="443"/>
      <c r="AC6" s="432"/>
      <c r="AD6" s="432"/>
      <c r="AE6" s="432"/>
      <c r="AF6" s="454"/>
      <c r="AG6" s="429"/>
      <c r="AH6" s="102">
        <v>0.79166666666666663</v>
      </c>
      <c r="AI6" s="100">
        <v>0</v>
      </c>
      <c r="AJ6" s="104">
        <v>0.79166666666666663</v>
      </c>
      <c r="AK6" s="120">
        <v>0.91666666666666663</v>
      </c>
      <c r="AL6" s="100">
        <v>0</v>
      </c>
      <c r="AM6" s="96">
        <v>0.79166666666666663</v>
      </c>
      <c r="AN6" s="104">
        <v>0.91666666666666663</v>
      </c>
      <c r="AO6" s="113">
        <v>0.25</v>
      </c>
      <c r="AP6" s="114">
        <v>0.5</v>
      </c>
      <c r="AQ6" s="114">
        <v>0.75</v>
      </c>
      <c r="AR6" s="115">
        <v>0</v>
      </c>
      <c r="AS6" s="430"/>
      <c r="AT6" s="431"/>
      <c r="AU6" s="431"/>
      <c r="AV6" s="418"/>
      <c r="AW6" s="432"/>
      <c r="AZ6" s="22"/>
      <c r="BA6" s="23"/>
    </row>
    <row r="7" spans="1:58" ht="12.75" customHeight="1" x14ac:dyDescent="0.2">
      <c r="A7" s="34"/>
      <c r="B7" s="420"/>
      <c r="C7" s="422"/>
      <c r="D7" s="422"/>
      <c r="E7" s="424"/>
      <c r="F7" s="38" t="s">
        <v>112</v>
      </c>
      <c r="G7" s="39" t="s">
        <v>113</v>
      </c>
      <c r="H7" s="28" t="s">
        <v>112</v>
      </c>
      <c r="I7" s="139" t="s">
        <v>113</v>
      </c>
      <c r="J7" s="28" t="s">
        <v>112</v>
      </c>
      <c r="K7" s="139" t="s">
        <v>113</v>
      </c>
      <c r="L7" s="28" t="s">
        <v>186</v>
      </c>
      <c r="M7" s="29" t="s">
        <v>187</v>
      </c>
      <c r="N7" s="139" t="s">
        <v>44</v>
      </c>
      <c r="O7" s="441" t="s">
        <v>188</v>
      </c>
      <c r="P7" s="442"/>
      <c r="Q7" s="31" t="s">
        <v>198</v>
      </c>
      <c r="R7" s="32" t="s">
        <v>42</v>
      </c>
      <c r="S7" s="32" t="s">
        <v>199</v>
      </c>
      <c r="T7" s="140" t="s">
        <v>200</v>
      </c>
      <c r="U7" s="30" t="s">
        <v>43</v>
      </c>
      <c r="V7" s="33" t="s">
        <v>193</v>
      </c>
      <c r="W7" s="33" t="s">
        <v>194</v>
      </c>
      <c r="X7" s="445"/>
      <c r="Y7" s="138" t="s">
        <v>196</v>
      </c>
      <c r="Z7" s="422"/>
      <c r="AA7" s="138" t="s">
        <v>247</v>
      </c>
      <c r="AB7" s="443"/>
      <c r="AC7" s="432"/>
      <c r="AD7" s="432"/>
      <c r="AE7" s="432"/>
      <c r="AF7" s="454"/>
      <c r="AG7" s="429"/>
      <c r="AH7" s="102">
        <v>1</v>
      </c>
      <c r="AI7" s="100">
        <v>0.29166666666666669</v>
      </c>
      <c r="AJ7" s="104">
        <v>0.29166666666666669</v>
      </c>
      <c r="AK7" s="102">
        <v>1</v>
      </c>
      <c r="AL7" s="99">
        <v>0.25</v>
      </c>
      <c r="AM7" s="95">
        <v>0.91666666666666663</v>
      </c>
      <c r="AN7" s="103">
        <v>0.25</v>
      </c>
      <c r="AO7" s="106">
        <v>0.33333333333333331</v>
      </c>
      <c r="AP7" s="96">
        <v>0.58333333333333337</v>
      </c>
      <c r="AQ7" s="96">
        <v>0.83333333333333337</v>
      </c>
      <c r="AR7" s="104">
        <v>8.3333333333333329E-2</v>
      </c>
      <c r="AS7" s="430"/>
      <c r="AT7" s="431"/>
      <c r="AU7" s="431"/>
      <c r="AV7" s="418"/>
      <c r="AW7" s="432"/>
      <c r="AZ7" s="22" t="s">
        <v>197</v>
      </c>
      <c r="BA7" s="23"/>
    </row>
    <row r="8" spans="1:58" ht="12.75" customHeight="1" x14ac:dyDescent="0.2">
      <c r="A8" s="34"/>
      <c r="B8" s="59" t="str">
        <f t="shared" ref="B8:B37" si="0">CHOOSE(WEEKDAY(C8),"Di","Lu","Ma","Me","Je","Ve","Sa")</f>
        <v>Ve</v>
      </c>
      <c r="C8" s="60">
        <f>DATE(RIGHT(Configuration!$G$8,4),11,1)</f>
        <v>45597</v>
      </c>
      <c r="D8" s="61"/>
      <c r="E8" s="62"/>
      <c r="F8" s="63"/>
      <c r="G8" s="64"/>
      <c r="H8" s="63"/>
      <c r="I8" s="64"/>
      <c r="J8" s="63"/>
      <c r="K8" s="64"/>
      <c r="L8" s="40">
        <f t="shared" ref="L8:L37" si="1">(G8-F8)+(I8-H8)+(K8-J8)+SUM(AB8,AC8,AD8,AE8,AF8,AG8)</f>
        <v>0</v>
      </c>
      <c r="M8" s="65">
        <f>L8+M3+IF(Oct!$F$48="Non",Oct!M38,0)</f>
        <v>0</v>
      </c>
      <c r="N8" s="66">
        <f>IF(AND(D8&lt;&gt;"Jour libre 4/5",B8&lt;&gt;"Sa",B8&lt;&gt;"Di"),SUM(N7,Configuration!$H$41),SUM(N7))+IF(Oct!F48="Non",Oct!N38,0)</f>
        <v>0.31666666666666665</v>
      </c>
      <c r="O8" s="48" t="str">
        <f>IF(M8-N8-$M$4&gt;=0,"+","-")</f>
        <v>-</v>
      </c>
      <c r="P8" s="67">
        <f>ABS(M8-N8-$M$4)</f>
        <v>0.31666666666666665</v>
      </c>
      <c r="Q8" s="164">
        <f>AO8</f>
        <v>0</v>
      </c>
      <c r="R8" s="165">
        <f>AP8</f>
        <v>0</v>
      </c>
      <c r="S8" s="165">
        <f>AQ8</f>
        <v>0</v>
      </c>
      <c r="T8" s="166">
        <f>AR8</f>
        <v>0</v>
      </c>
      <c r="U8" s="93">
        <f t="shared" ref="U8:U37" si="2">IF(OR(AND(D8="Jour férié semaine",((G8-F8)+(I8-H8)+(K8-J8&gt;0))),B8="Sa",B8="Di"),L8,0)</f>
        <v>0</v>
      </c>
      <c r="V8" s="93">
        <f t="shared" ref="V8:V37" si="3">IF($R$2="Oui",AM8,0)</f>
        <v>0</v>
      </c>
      <c r="W8" s="93">
        <f t="shared" ref="W8:W37" si="4">IF($R$2="Oui",AN8,0)</f>
        <v>0</v>
      </c>
      <c r="X8" s="93">
        <f t="shared" ref="X8:X37" si="5">IF($R$3="Oui",AJ8,0)</f>
        <v>0</v>
      </c>
      <c r="Y8" s="209"/>
      <c r="Z8" s="210"/>
      <c r="AA8" s="210"/>
      <c r="AB8" s="128">
        <f>IF(AND(D8="Jour férié semaine",((G8-F8)+(I8-H8)+(K8-J8)=0)),VLOOKUP(D8,Systeemgegevens!$J:$K,2,FALSE),0)</f>
        <v>0</v>
      </c>
      <c r="AC8" s="43">
        <f>IF(AND(NOT(ISERROR(FIND("Congé",D8))),ISERROR(FIND("1/2",D8)),ISERROR(FIND("Synd",D8)),ISERROR(FIND("synd",D8)),(G8-F8+I8-H8+K8-J8)=0),VLOOKUP(D8,Systeemgegevens!$J:$K,2,FALSE),IF(AND(NOT(ISERROR(FIND("1/2 Congé + ",D8))),(G8-F8+I8-H8+K8-J8)=0),VLOOKUP(D8,Systeemgegevens!$J:$K,2,FALSE)/2,IF(AND(NOT(ISERROR(FIND("1/2 Congé",D8))),ISERROR(FIND(" + ",D8)),ISERROR(FIND("1/2 Congé Synd.",D8))),VLOOKUP(D8,Systeemgegevens!$J:$K,2,FALSE),0)))</f>
        <v>0</v>
      </c>
      <c r="AD8" s="43">
        <f>IF(AND(OR(D8="1/2 Congé Synd.",D8="Congé Synd."),((G8-F8)+(I8-H8)+(K8-J8)=0)),VLOOKUP(D8,Systeemgegevens!$J:$K,2,FALSE),IF(AND(D8="1/2 Congé + 1/2 synd.",((G8-F8)+(I8-H8)+(K8-J8)=0)),AC8,0))</f>
        <v>0</v>
      </c>
      <c r="AE8" s="43">
        <f>IF(AND(D8="Jour de pont",((G8-F8)+(I8-H8)+(K8-J8)=0)),VLOOKUP(D8,Systeemgegevens!$J:$K,2,FALSE),0)</f>
        <v>0</v>
      </c>
      <c r="AF8" s="43">
        <f>IF(AND(D8="Jour libre 4/5",AND((G8-F8)+(I8-H8)+(K8-J8)=0)),VLOOKUP(D8,Systeemgegevens!$J:$K,2,FALSE),0)</f>
        <v>0</v>
      </c>
      <c r="AG8" s="118">
        <f>IF(AND(D8&lt;&gt;"",SUM(AB8:AF8)=0,D8&lt;&gt;$AB$4,D8&lt;&gt;$AC$4,D8&lt;&gt;$AD$4,D8&lt;&gt;$AE$4,D8&lt;&gt;$AF$4),VLOOKUP(D8,Systeemgegevens!$J:$K,2,FALSE),0)</f>
        <v>0</v>
      </c>
      <c r="AH8" s="119">
        <f t="shared" ref="AH8:AH37" si="6">SUM(IF(AND(G8&gt;$AH$6,F8&lt;=$AH$6),G8-$AH$6,0),IF(F8&gt;$AH$6,G8-F8,0),IF(AND(I8&gt;$AH$6,H8&lt;=$AH$6),I8-$AH$6,0),IF(H8&gt;$AH$6,I8-H8,0),IF(AND(K8&gt;$AH$6,J8&lt;=$AH$6),K8-$AH$6,0),IF(J8&gt;$AH$6,K8-J8,0))</f>
        <v>0</v>
      </c>
      <c r="AI8" s="101">
        <f t="shared" ref="AI8:AI37" si="7">SUM(IF(AND(G8&gt;=$AI$7,F8&lt;$AI$7),$AI$7-F8,0),IF(G8&lt;$AI$7,G8-F8,0),IF(AND(I8&gt;=$AI$7,H8&lt;$AI$7),$AI$7-H8,0),IF(I8&lt;$AI$7,I8-H8,0),IF(AND(K8&gt;=$AI$7,J8&lt;$AI$7),$AI$7-J8,0),IF(K8&lt;$AI$7,K8-J8,0))</f>
        <v>0</v>
      </c>
      <c r="AJ8" s="118">
        <f>SUM(AH8:AI8)</f>
        <v>0</v>
      </c>
      <c r="AK8" s="119">
        <f t="shared" ref="AK8:AK37" si="8">SUM(IF(AND(G8&gt;$AK$6,F8&lt;=$AK$6),G8-$AK$6,0),IF(F8&gt;$AK$6,G8-F8,0),IF(AND(I8&gt;$AK$6,H8&lt;=$AK$6),I8-$AK$6,0),IF(H8&gt;$AK$6,I8-H8,0),IF(AND(K8&gt;$AK$6,J8&lt;=$AK$6),K8-$AK$6,0),IF(J8&gt;$AK$6,K8-J8,0))</f>
        <v>0</v>
      </c>
      <c r="AL8" s="101">
        <f t="shared" ref="AL8:AL37" si="9">SUM(IF(AND(G8&gt;=$AL$7,F8&lt;$AL$7),$AL$7-F8,0),IF(G8&lt;$AL$7,G8-F8,0),IF(AND(I8&gt;=$AL$7,H8&lt;$AL$7),$AL$7-H8,0),IF(I8&lt;$AL$7,I8-H8,0),IF(AND(K8&gt;=$AL$7,J8&lt;$AL$7),$AL$7-J8,0),IF(K8&lt;$AL$7,K8-J8,0))</f>
        <v>0</v>
      </c>
      <c r="AM8" s="43">
        <f>AH8-AK8</f>
        <v>0</v>
      </c>
      <c r="AN8" s="118">
        <f>AK8+AL8</f>
        <v>0</v>
      </c>
      <c r="AO8" s="122">
        <f t="shared" ref="AO8:AO37" si="10">SUM(IF(AND(F8&lt;=$AO$6,G8&gt;=$AO$7),1,0),IF(AND(H8&lt;=$AO$6,I8&gt;=$AO$7),1,0),IF(AND(J8&lt;=$AO$6,K8&gt;=$AO$7),1,0))</f>
        <v>0</v>
      </c>
      <c r="AP8" s="107">
        <f t="shared" ref="AP8:AP37" si="11">SUM(IF(AND(F8&lt;=$AP$6,G8&gt;=$AP$7),1,0),IF(AND(H8&lt;=$AP$6,I8&gt;=$AP$7),1,0),IF(AND(J8&lt;=$AP$6,K8&gt;=$AP$7),1,0))</f>
        <v>0</v>
      </c>
      <c r="AQ8" s="107">
        <f t="shared" ref="AQ8:AQ37" si="12">SUM(IF(AND(F8&lt;=$AQ$6,G8&gt;=$AQ$7),1,0),IF(AND(H8&lt;=$AQ$6,I8&gt;=$AQ$7),1,0),IF(AND(J8&lt;=$AQ$6,K8&gt;=$AQ$7),1,0))</f>
        <v>0</v>
      </c>
      <c r="AR8" s="123">
        <f t="shared" ref="AR8:AR37" si="13">SUM(IF(AND(F8&lt;=$AR$6,G8&gt;=$AR$7),1,0),IF(AND(H8&lt;=$AR$6,I8&gt;=$AR$7),1,0),IF(AND(J8&lt;=$AR$6,K8&gt;=$AR$7),1,0))</f>
        <v>0</v>
      </c>
      <c r="AS8" s="124">
        <f t="shared" ref="AS8:AS37" si="14">IF(OR(E8="M",E8="ME"),1,0)</f>
        <v>0</v>
      </c>
      <c r="AT8" s="124">
        <f t="shared" ref="AT8:AT37" si="15">IF(OR(E8="E",E8="ME"),1,0)</f>
        <v>0</v>
      </c>
      <c r="AU8" s="124">
        <f t="shared" ref="AU8:AU37" si="16">IF(AND(OR(D8="Jour férié semaine",D8="Jour de pont"),((G8-F8)+(I8-H8)+(K8-J8)&gt;0)),1,0)</f>
        <v>0</v>
      </c>
      <c r="AV8" s="117" t="s">
        <v>36</v>
      </c>
      <c r="AW8" s="129">
        <f>IF(($R$40=AV8)*AND($R$41&lt;&gt;""),VLOOKUP($R$41,'Barèmes police'!$B$4:$C$30,2),0)</f>
        <v>14703.88</v>
      </c>
      <c r="AX8" s="15"/>
      <c r="AY8" s="14"/>
      <c r="AZ8" s="269"/>
      <c r="BA8" s="154"/>
      <c r="BB8" s="154"/>
      <c r="BC8" s="154"/>
      <c r="BD8" s="154"/>
      <c r="BE8" s="154"/>
      <c r="BF8" s="154"/>
    </row>
    <row r="9" spans="1:58" ht="12.75" customHeight="1" x14ac:dyDescent="0.2">
      <c r="A9" s="34"/>
      <c r="B9" s="24" t="str">
        <f t="shared" si="0"/>
        <v>Sa</v>
      </c>
      <c r="C9" s="25">
        <f>C8+1</f>
        <v>45598</v>
      </c>
      <c r="D9" s="51"/>
      <c r="E9" s="116"/>
      <c r="F9" s="52"/>
      <c r="G9" s="53"/>
      <c r="H9" s="52"/>
      <c r="I9" s="53"/>
      <c r="J9" s="54"/>
      <c r="K9" s="55"/>
      <c r="L9" s="40">
        <f t="shared" si="1"/>
        <v>0</v>
      </c>
      <c r="M9" s="41">
        <f>M8+L9</f>
        <v>0</v>
      </c>
      <c r="N9" s="42">
        <f>IF(AND(D9&lt;&gt;"Jour libre 4/5",B9&lt;&gt;"Sa",B9&lt;&gt;"Di"),SUM(N8,Configuration!$H$41),SUM(N8))</f>
        <v>0.31666666666666665</v>
      </c>
      <c r="O9" s="49" t="str">
        <f>IF(M9-N9-$M$4&gt;=0,"+","-")</f>
        <v>-</v>
      </c>
      <c r="P9" s="143">
        <f t="shared" ref="P9:P37" si="17">ABS(M9-N9-$M$4)</f>
        <v>0.31666666666666665</v>
      </c>
      <c r="Q9" s="167">
        <f t="shared" ref="Q9:T37" si="18">AO9</f>
        <v>0</v>
      </c>
      <c r="R9" s="168">
        <f t="shared" si="18"/>
        <v>0</v>
      </c>
      <c r="S9" s="168">
        <f t="shared" si="18"/>
        <v>0</v>
      </c>
      <c r="T9" s="169">
        <f t="shared" si="18"/>
        <v>0</v>
      </c>
      <c r="U9" s="97">
        <f t="shared" si="2"/>
        <v>0</v>
      </c>
      <c r="V9" s="97">
        <f t="shared" si="3"/>
        <v>0</v>
      </c>
      <c r="W9" s="97">
        <f t="shared" si="4"/>
        <v>0</v>
      </c>
      <c r="X9" s="97">
        <f t="shared" si="5"/>
        <v>0</v>
      </c>
      <c r="Y9" s="209"/>
      <c r="Z9" s="210"/>
      <c r="AA9" s="210"/>
      <c r="AB9" s="128">
        <f>IF(AND(D9="Jour férié semaine",((G9-F9)+(I9-H9)+(K9-J9)=0)),VLOOKUP(D9,Systeemgegevens!$J:$K,2,FALSE),0)</f>
        <v>0</v>
      </c>
      <c r="AC9" s="43">
        <f>IF(AND(NOT(ISERROR(FIND("Congé",D9))),ISERROR(FIND("1/2",D9)),ISERROR(FIND("Synd",D9)),ISERROR(FIND("synd",D9)),(G9-F9+I9-H9+K9-J9)=0),VLOOKUP(D9,Systeemgegevens!$J:$K,2,FALSE),IF(AND(NOT(ISERROR(FIND("1/2 Congé + ",D9))),(G9-F9+I9-H9+K9-J9)=0),VLOOKUP(D9,Systeemgegevens!$J:$K,2,FALSE)/2,IF(AND(NOT(ISERROR(FIND("1/2 Congé",D9))),ISERROR(FIND(" + ",D9)),ISERROR(FIND("1/2 Congé Synd.",D9))),VLOOKUP(D9,Systeemgegevens!$J:$K,2,FALSE),0)))</f>
        <v>0</v>
      </c>
      <c r="AD9" s="43">
        <f>IF(AND(OR(D9="1/2 Congé Synd.",D9="Congé Synd."),((G9-F9)+(I9-H9)+(K9-J9)=0)),VLOOKUP(D9,Systeemgegevens!$J:$K,2,FALSE),IF(AND(D9="1/2 Congé + 1/2 synd.",((G9-F9)+(I9-H9)+(K9-J9)=0)),AC9,0))</f>
        <v>0</v>
      </c>
      <c r="AE9" s="43">
        <f>IF(AND(D9="Jour de pont",((G9-F9)+(I9-H9)+(K9-J9)=0)),VLOOKUP(D9,Systeemgegevens!$J:$K,2,FALSE),0)</f>
        <v>0</v>
      </c>
      <c r="AF9" s="43">
        <f>IF(AND(D9="Jour libre 4/5",AND((G9-F9)+(I9-H9)+(K9-J9)=0)),VLOOKUP(D9,Systeemgegevens!$J:$K,2,FALSE),0)</f>
        <v>0</v>
      </c>
      <c r="AG9" s="118">
        <f>IF(AND(D9&lt;&gt;"",SUM(AB9:AF9)=0,D9&lt;&gt;$AB$4,D9&lt;&gt;$AC$4,D9&lt;&gt;$AE$4,D9&lt;&gt;$AF$4),VLOOKUP(D9,Systeemgegevens!$J:$K,2,FALSE),0)</f>
        <v>0</v>
      </c>
      <c r="AH9" s="119">
        <f t="shared" si="6"/>
        <v>0</v>
      </c>
      <c r="AI9" s="101">
        <f t="shared" si="7"/>
        <v>0</v>
      </c>
      <c r="AJ9" s="118">
        <f t="shared" ref="AJ9:AJ37" si="19">SUM(AH9:AI9)</f>
        <v>0</v>
      </c>
      <c r="AK9" s="119">
        <f t="shared" si="8"/>
        <v>0</v>
      </c>
      <c r="AL9" s="101">
        <f t="shared" si="9"/>
        <v>0</v>
      </c>
      <c r="AM9" s="43">
        <f t="shared" ref="AM9:AM37" si="20">AH9-AK9</f>
        <v>0</v>
      </c>
      <c r="AN9" s="118">
        <f t="shared" ref="AN9:AN37" si="21">AK9+AL9</f>
        <v>0</v>
      </c>
      <c r="AO9" s="122">
        <f t="shared" si="10"/>
        <v>0</v>
      </c>
      <c r="AP9" s="107">
        <f t="shared" si="11"/>
        <v>0</v>
      </c>
      <c r="AQ9" s="107">
        <f t="shared" si="12"/>
        <v>0</v>
      </c>
      <c r="AR9" s="123">
        <f t="shared" si="13"/>
        <v>0</v>
      </c>
      <c r="AS9" s="124">
        <f t="shared" si="14"/>
        <v>0</v>
      </c>
      <c r="AT9" s="124">
        <f t="shared" si="15"/>
        <v>0</v>
      </c>
      <c r="AU9" s="124">
        <f t="shared" si="16"/>
        <v>0</v>
      </c>
      <c r="AV9" s="117" t="s">
        <v>35</v>
      </c>
      <c r="AW9" s="129">
        <f>IF(($R$40=AV9)*AND($R$41&lt;&gt;""),VLOOKUP($R$41,'Barèmes police'!$E$4:$F$30,2),0)</f>
        <v>0</v>
      </c>
      <c r="AX9" s="16" t="str">
        <f>IF('Types de jours'!F15&lt;&gt;"",'Types de jours'!F15,"")</f>
        <v>Congé</v>
      </c>
      <c r="AY9" s="144">
        <f>IF(AX9&lt;&gt;"",'Types de jours'!I15,"")</f>
        <v>0.31666666666666665</v>
      </c>
      <c r="AZ9" s="269"/>
      <c r="BA9" s="154"/>
      <c r="BB9" s="154"/>
      <c r="BC9" s="154"/>
      <c r="BD9" s="154"/>
      <c r="BE9" s="154"/>
      <c r="BF9" s="154"/>
    </row>
    <row r="10" spans="1:58" ht="12.75" customHeight="1" x14ac:dyDescent="0.2">
      <c r="A10" s="34"/>
      <c r="B10" s="24" t="str">
        <f t="shared" si="0"/>
        <v>Di</v>
      </c>
      <c r="C10" s="25">
        <f t="shared" ref="C10:C37" si="22">C9+1</f>
        <v>45599</v>
      </c>
      <c r="D10" s="51"/>
      <c r="E10" s="116"/>
      <c r="F10" s="52"/>
      <c r="G10" s="53"/>
      <c r="H10" s="52"/>
      <c r="I10" s="53"/>
      <c r="J10" s="54"/>
      <c r="K10" s="55"/>
      <c r="L10" s="40">
        <f t="shared" si="1"/>
        <v>0</v>
      </c>
      <c r="M10" s="41">
        <f t="shared" ref="M10:M37" si="23">M9+L10</f>
        <v>0</v>
      </c>
      <c r="N10" s="42">
        <f>IF(AND(D10&lt;&gt;"Jour libre 4/5",B10&lt;&gt;"Sa",B10&lt;&gt;"Di"),SUM(N9,Configuration!$H$41),SUM(N9))</f>
        <v>0.31666666666666665</v>
      </c>
      <c r="O10" s="49" t="str">
        <f t="shared" ref="O10:O37" si="24">IF(M10-N10-$M$4&gt;=0,"+","-")</f>
        <v>-</v>
      </c>
      <c r="P10" s="143">
        <f t="shared" si="17"/>
        <v>0.31666666666666665</v>
      </c>
      <c r="Q10" s="167">
        <f t="shared" si="18"/>
        <v>0</v>
      </c>
      <c r="R10" s="168">
        <f t="shared" si="18"/>
        <v>0</v>
      </c>
      <c r="S10" s="168">
        <f t="shared" si="18"/>
        <v>0</v>
      </c>
      <c r="T10" s="169">
        <f t="shared" si="18"/>
        <v>0</v>
      </c>
      <c r="U10" s="97">
        <f t="shared" si="2"/>
        <v>0</v>
      </c>
      <c r="V10" s="97">
        <f t="shared" si="3"/>
        <v>0</v>
      </c>
      <c r="W10" s="97">
        <f t="shared" si="4"/>
        <v>0</v>
      </c>
      <c r="X10" s="97">
        <f t="shared" si="5"/>
        <v>0</v>
      </c>
      <c r="Y10" s="209"/>
      <c r="Z10" s="210"/>
      <c r="AA10" s="210"/>
      <c r="AB10" s="128">
        <f>IF(AND(D10="Jour férié semaine",((G10-F10)+(I10-H10)+(K10-J10)=0)),VLOOKUP(D10,Systeemgegevens!$J:$K,2,FALSE),0)</f>
        <v>0</v>
      </c>
      <c r="AC10" s="43">
        <f>IF(AND(NOT(ISERROR(FIND("Congé",D10))),ISERROR(FIND("1/2",D10)),ISERROR(FIND("Synd",D10)),ISERROR(FIND("synd",D10)),(G10-F10+I10-H10+K10-J10)=0),VLOOKUP(D10,Systeemgegevens!$J:$K,2,FALSE),IF(AND(NOT(ISERROR(FIND("1/2 Congé + ",D10))),(G10-F10+I10-H10+K10-J10)=0),VLOOKUP(D10,Systeemgegevens!$J:$K,2,FALSE)/2,IF(AND(NOT(ISERROR(FIND("1/2 Congé",D10))),ISERROR(FIND(" + ",D10)),ISERROR(FIND("1/2 Congé Synd.",D10))),VLOOKUP(D10,Systeemgegevens!$J:$K,2,FALSE),0)))</f>
        <v>0</v>
      </c>
      <c r="AD10" s="43">
        <f>IF(AND(OR(D10="1/2 Congé Synd.",D10="Congé Synd."),((G10-F10)+(I10-H10)+(K10-J10)=0)),VLOOKUP(D10,Systeemgegevens!$J:$K,2,FALSE),IF(AND(D10="1/2 Congé + 1/2 synd.",((G10-F10)+(I10-H10)+(K10-J10)=0)),AC10,0))</f>
        <v>0</v>
      </c>
      <c r="AE10" s="43">
        <f>IF(AND(D10="Jour de pont",((G10-F10)+(I10-H10)+(K10-J10)=0)),VLOOKUP(D10,Systeemgegevens!$J:$K,2,FALSE),0)</f>
        <v>0</v>
      </c>
      <c r="AF10" s="43">
        <f>IF(AND(D10="Jour libre 4/5",AND((G10-F10)+(I10-H10)+(K10-J10)=0)),VLOOKUP(D10,Systeemgegevens!$J:$K,2,FALSE),0)</f>
        <v>0</v>
      </c>
      <c r="AG10" s="118">
        <f>IF(AND(D10&lt;&gt;"",SUM(AB10:AF10)=0,D10&lt;&gt;$AB$4,D10&lt;&gt;$AC$4,D10&lt;&gt;$AE$4,D10&lt;&gt;$AF$4),VLOOKUP(D10,Systeemgegevens!$J:$K,2,FALSE),0)</f>
        <v>0</v>
      </c>
      <c r="AH10" s="119">
        <f t="shared" si="6"/>
        <v>0</v>
      </c>
      <c r="AI10" s="101">
        <f t="shared" si="7"/>
        <v>0</v>
      </c>
      <c r="AJ10" s="118">
        <f t="shared" si="19"/>
        <v>0</v>
      </c>
      <c r="AK10" s="119">
        <f t="shared" si="8"/>
        <v>0</v>
      </c>
      <c r="AL10" s="101">
        <f t="shared" si="9"/>
        <v>0</v>
      </c>
      <c r="AM10" s="43">
        <f t="shared" si="20"/>
        <v>0</v>
      </c>
      <c r="AN10" s="118">
        <f t="shared" si="21"/>
        <v>0</v>
      </c>
      <c r="AO10" s="122">
        <f t="shared" si="10"/>
        <v>0</v>
      </c>
      <c r="AP10" s="107">
        <f t="shared" si="11"/>
        <v>0</v>
      </c>
      <c r="AQ10" s="107">
        <f t="shared" si="12"/>
        <v>0</v>
      </c>
      <c r="AR10" s="123">
        <f t="shared" si="13"/>
        <v>0</v>
      </c>
      <c r="AS10" s="124">
        <f t="shared" si="14"/>
        <v>0</v>
      </c>
      <c r="AT10" s="124">
        <f t="shared" si="15"/>
        <v>0</v>
      </c>
      <c r="AU10" s="124">
        <f t="shared" si="16"/>
        <v>0</v>
      </c>
      <c r="AV10" s="117" t="s">
        <v>34</v>
      </c>
      <c r="AW10" s="129">
        <f>IF(($R$40=AV10)*AND($R$41&lt;&gt;""),VLOOKUP($R$41,'Barèmes police'!$H$4:$I$30,2),0)</f>
        <v>0</v>
      </c>
      <c r="AX10" s="16" t="str">
        <f>IF('Types de jours'!F16&lt;&gt;"",'Types de jours'!F16,"")</f>
        <v>1/2 Congé</v>
      </c>
      <c r="AY10" s="144">
        <f>IF(AX10&lt;&gt;"",'Types de jours'!I16,"")</f>
        <v>0.15833333333333333</v>
      </c>
      <c r="AZ10" s="269"/>
      <c r="BA10" s="154"/>
      <c r="BB10" s="154"/>
      <c r="BC10" s="154"/>
      <c r="BD10" s="154"/>
      <c r="BE10" s="154"/>
      <c r="BF10" s="154"/>
    </row>
    <row r="11" spans="1:58" ht="12.75" customHeight="1" x14ac:dyDescent="0.2">
      <c r="A11" s="34"/>
      <c r="B11" s="24" t="str">
        <f t="shared" si="0"/>
        <v>Lu</v>
      </c>
      <c r="C11" s="25">
        <f t="shared" si="22"/>
        <v>45600</v>
      </c>
      <c r="D11" s="51"/>
      <c r="E11" s="116"/>
      <c r="F11" s="52"/>
      <c r="G11" s="53"/>
      <c r="H11" s="52"/>
      <c r="I11" s="53"/>
      <c r="J11" s="54"/>
      <c r="K11" s="55"/>
      <c r="L11" s="40">
        <f t="shared" si="1"/>
        <v>0</v>
      </c>
      <c r="M11" s="41">
        <f t="shared" si="23"/>
        <v>0</v>
      </c>
      <c r="N11" s="42">
        <f>IF(AND(D11&lt;&gt;"Jour libre 4/5",B11&lt;&gt;"Sa",B11&lt;&gt;"Di"),SUM(N10,Configuration!$H$41),SUM(N10))</f>
        <v>0.6333333333333333</v>
      </c>
      <c r="O11" s="49" t="str">
        <f t="shared" si="24"/>
        <v>-</v>
      </c>
      <c r="P11" s="143">
        <f t="shared" si="17"/>
        <v>0.6333333333333333</v>
      </c>
      <c r="Q11" s="167">
        <f t="shared" si="18"/>
        <v>0</v>
      </c>
      <c r="R11" s="168">
        <f t="shared" si="18"/>
        <v>0</v>
      </c>
      <c r="S11" s="168">
        <f t="shared" si="18"/>
        <v>0</v>
      </c>
      <c r="T11" s="169">
        <f t="shared" si="18"/>
        <v>0</v>
      </c>
      <c r="U11" s="97">
        <f t="shared" si="2"/>
        <v>0</v>
      </c>
      <c r="V11" s="97">
        <f t="shared" si="3"/>
        <v>0</v>
      </c>
      <c r="W11" s="97">
        <f t="shared" si="4"/>
        <v>0</v>
      </c>
      <c r="X11" s="97">
        <f t="shared" si="5"/>
        <v>0</v>
      </c>
      <c r="Y11" s="209"/>
      <c r="Z11" s="210"/>
      <c r="AA11" s="210"/>
      <c r="AB11" s="128">
        <f>IF(AND(D11="Jour férié semaine",((G11-F11)+(I11-H11)+(K11-J11)=0)),VLOOKUP(D11,Systeemgegevens!$J:$K,2,FALSE),0)</f>
        <v>0</v>
      </c>
      <c r="AC11" s="43">
        <f>IF(AND(NOT(ISERROR(FIND("Congé",D11))),ISERROR(FIND("1/2",D11)),ISERROR(FIND("Synd",D11)),ISERROR(FIND("synd",D11)),(G11-F11+I11-H11+K11-J11)=0),VLOOKUP(D11,Systeemgegevens!$J:$K,2,FALSE),IF(AND(NOT(ISERROR(FIND("1/2 Congé + ",D11))),(G11-F11+I11-H11+K11-J11)=0),VLOOKUP(D11,Systeemgegevens!$J:$K,2,FALSE)/2,IF(AND(NOT(ISERROR(FIND("1/2 Congé",D11))),ISERROR(FIND(" + ",D11)),ISERROR(FIND("1/2 Congé Synd.",D11))),VLOOKUP(D11,Systeemgegevens!$J:$K,2,FALSE),0)))</f>
        <v>0</v>
      </c>
      <c r="AD11" s="43">
        <f>IF(AND(OR(D11="1/2 Congé Synd.",D11="Congé Synd."),((G11-F11)+(I11-H11)+(K11-J11)=0)),VLOOKUP(D11,Systeemgegevens!$J:$K,2,FALSE),IF(AND(D11="1/2 Congé + 1/2 synd.",((G11-F11)+(I11-H11)+(K11-J11)=0)),AC11,0))</f>
        <v>0</v>
      </c>
      <c r="AE11" s="43">
        <f>IF(AND(D11="Jour de pont",((G11-F11)+(I11-H11)+(K11-J11)=0)),VLOOKUP(D11,Systeemgegevens!$J:$K,2,FALSE),0)</f>
        <v>0</v>
      </c>
      <c r="AF11" s="43">
        <f>IF(AND(D11="Jour libre 4/5",AND((G11-F11)+(I11-H11)+(K11-J11)=0)),VLOOKUP(D11,Systeemgegevens!$J:$K,2,FALSE),0)</f>
        <v>0</v>
      </c>
      <c r="AG11" s="118">
        <f>IF(AND(D11&lt;&gt;"",SUM(AB11:AF11)=0,D11&lt;&gt;$AB$4,D11&lt;&gt;$AC$4,D11&lt;&gt;$AE$4,D11&lt;&gt;$AF$4),VLOOKUP(D11,Systeemgegevens!$J:$K,2,FALSE),0)</f>
        <v>0</v>
      </c>
      <c r="AH11" s="119">
        <f t="shared" si="6"/>
        <v>0</v>
      </c>
      <c r="AI11" s="101">
        <f t="shared" si="7"/>
        <v>0</v>
      </c>
      <c r="AJ11" s="118">
        <f t="shared" si="19"/>
        <v>0</v>
      </c>
      <c r="AK11" s="119">
        <f t="shared" si="8"/>
        <v>0</v>
      </c>
      <c r="AL11" s="101">
        <f t="shared" si="9"/>
        <v>0</v>
      </c>
      <c r="AM11" s="43">
        <f t="shared" si="20"/>
        <v>0</v>
      </c>
      <c r="AN11" s="118">
        <f t="shared" si="21"/>
        <v>0</v>
      </c>
      <c r="AO11" s="122">
        <f t="shared" si="10"/>
        <v>0</v>
      </c>
      <c r="AP11" s="107">
        <f t="shared" si="11"/>
        <v>0</v>
      </c>
      <c r="AQ11" s="107">
        <f t="shared" si="12"/>
        <v>0</v>
      </c>
      <c r="AR11" s="123">
        <f t="shared" si="13"/>
        <v>0</v>
      </c>
      <c r="AS11" s="124">
        <f t="shared" si="14"/>
        <v>0</v>
      </c>
      <c r="AT11" s="124">
        <f t="shared" si="15"/>
        <v>0</v>
      </c>
      <c r="AU11" s="124">
        <f t="shared" si="16"/>
        <v>0</v>
      </c>
      <c r="AV11" s="117" t="s">
        <v>268</v>
      </c>
      <c r="AW11" s="129">
        <f>IF(($R$40=AV11)*AND($R$41&lt;&gt;""),VLOOKUP($R$41,'Barèmes police'!$K$4:$L$30,2),0)</f>
        <v>0</v>
      </c>
      <c r="AX11" s="16" t="str">
        <f>IF('Types de jours'!F17&lt;&gt;"",'Types de jours'!F17,"")</f>
        <v>Malade</v>
      </c>
      <c r="AY11" s="144">
        <f>IF(AX11&lt;&gt;"",'Types de jours'!I17,"")</f>
        <v>0.31666666666666665</v>
      </c>
      <c r="AZ11" s="269"/>
      <c r="BA11" s="154"/>
      <c r="BB11" s="154"/>
      <c r="BC11" s="154"/>
      <c r="BD11" s="154"/>
      <c r="BE11" s="154"/>
      <c r="BF11" s="154"/>
    </row>
    <row r="12" spans="1:58" ht="12.75" customHeight="1" x14ac:dyDescent="0.2">
      <c r="A12" s="34"/>
      <c r="B12" s="24" t="str">
        <f t="shared" si="0"/>
        <v>Ma</v>
      </c>
      <c r="C12" s="25">
        <f t="shared" si="22"/>
        <v>45601</v>
      </c>
      <c r="D12" s="51"/>
      <c r="E12" s="116"/>
      <c r="F12" s="52"/>
      <c r="G12" s="53"/>
      <c r="H12" s="52"/>
      <c r="I12" s="53"/>
      <c r="J12" s="54"/>
      <c r="K12" s="55"/>
      <c r="L12" s="40">
        <f t="shared" si="1"/>
        <v>0</v>
      </c>
      <c r="M12" s="41">
        <f t="shared" si="23"/>
        <v>0</v>
      </c>
      <c r="N12" s="42">
        <f>IF(AND(D12&lt;&gt;"Jour libre 4/5",B12&lt;&gt;"Sa",B12&lt;&gt;"Di"),SUM(N11,Configuration!$H$41),SUM(N11))</f>
        <v>0.95</v>
      </c>
      <c r="O12" s="49" t="str">
        <f t="shared" si="24"/>
        <v>-</v>
      </c>
      <c r="P12" s="143">
        <f t="shared" si="17"/>
        <v>0.95</v>
      </c>
      <c r="Q12" s="167">
        <f t="shared" si="18"/>
        <v>0</v>
      </c>
      <c r="R12" s="168">
        <f t="shared" si="18"/>
        <v>0</v>
      </c>
      <c r="S12" s="168">
        <f t="shared" si="18"/>
        <v>0</v>
      </c>
      <c r="T12" s="169">
        <f t="shared" si="18"/>
        <v>0</v>
      </c>
      <c r="U12" s="97">
        <f t="shared" si="2"/>
        <v>0</v>
      </c>
      <c r="V12" s="97">
        <f t="shared" si="3"/>
        <v>0</v>
      </c>
      <c r="W12" s="97">
        <f t="shared" si="4"/>
        <v>0</v>
      </c>
      <c r="X12" s="97">
        <f t="shared" si="5"/>
        <v>0</v>
      </c>
      <c r="Y12" s="209"/>
      <c r="Z12" s="210"/>
      <c r="AA12" s="210"/>
      <c r="AB12" s="128">
        <f>IF(AND(D12="Jour férié semaine",((G12-F12)+(I12-H12)+(K12-J12)=0)),VLOOKUP(D12,Systeemgegevens!$J:$K,2,FALSE),0)</f>
        <v>0</v>
      </c>
      <c r="AC12" s="43">
        <f>IF(AND(NOT(ISERROR(FIND("Congé",D12))),ISERROR(FIND("1/2",D12)),ISERROR(FIND("Synd",D12)),ISERROR(FIND("synd",D12)),(G12-F12+I12-H12+K12-J12)=0),VLOOKUP(D12,Systeemgegevens!$J:$K,2,FALSE),IF(AND(NOT(ISERROR(FIND("1/2 Congé + ",D12))),(G12-F12+I12-H12+K12-J12)=0),VLOOKUP(D12,Systeemgegevens!$J:$K,2,FALSE)/2,IF(AND(NOT(ISERROR(FIND("1/2 Congé",D12))),ISERROR(FIND(" + ",D12)),ISERROR(FIND("1/2 Congé Synd.",D12))),VLOOKUP(D12,Systeemgegevens!$J:$K,2,FALSE),0)))</f>
        <v>0</v>
      </c>
      <c r="AD12" s="43">
        <f>IF(AND(OR(D12="1/2 Congé Synd.",D12="Congé Synd."),((G12-F12)+(I12-H12)+(K12-J12)=0)),VLOOKUP(D12,Systeemgegevens!$J:$K,2,FALSE),IF(AND(D12="1/2 Congé + 1/2 synd.",((G12-F12)+(I12-H12)+(K12-J12)=0)),AC12,0))</f>
        <v>0</v>
      </c>
      <c r="AE12" s="43">
        <f>IF(AND(D12="Jour de pont",((G12-F12)+(I12-H12)+(K12-J12)=0)),VLOOKUP(D12,Systeemgegevens!$J:$K,2,FALSE),0)</f>
        <v>0</v>
      </c>
      <c r="AF12" s="43">
        <f>IF(AND(D12="Jour libre 4/5",AND((G12-F12)+(I12-H12)+(K12-J12)=0)),VLOOKUP(D12,Systeemgegevens!$J:$K,2,FALSE),0)</f>
        <v>0</v>
      </c>
      <c r="AG12" s="118">
        <f>IF(AND(D12&lt;&gt;"",SUM(AB12:AF12)=0,D12&lt;&gt;$AB$4,D12&lt;&gt;$AC$4,D12&lt;&gt;$AE$4,D12&lt;&gt;$AF$4),VLOOKUP(D12,Systeemgegevens!$J:$K,2,FALSE),0)</f>
        <v>0</v>
      </c>
      <c r="AH12" s="119">
        <f t="shared" si="6"/>
        <v>0</v>
      </c>
      <c r="AI12" s="101">
        <f t="shared" si="7"/>
        <v>0</v>
      </c>
      <c r="AJ12" s="118">
        <f t="shared" si="19"/>
        <v>0</v>
      </c>
      <c r="AK12" s="119">
        <f t="shared" si="8"/>
        <v>0</v>
      </c>
      <c r="AL12" s="101">
        <f t="shared" si="9"/>
        <v>0</v>
      </c>
      <c r="AM12" s="43">
        <f t="shared" si="20"/>
        <v>0</v>
      </c>
      <c r="AN12" s="118">
        <f t="shared" si="21"/>
        <v>0</v>
      </c>
      <c r="AO12" s="122">
        <f t="shared" si="10"/>
        <v>0</v>
      </c>
      <c r="AP12" s="107">
        <f t="shared" si="11"/>
        <v>0</v>
      </c>
      <c r="AQ12" s="107">
        <f t="shared" si="12"/>
        <v>0</v>
      </c>
      <c r="AR12" s="123">
        <f t="shared" si="13"/>
        <v>0</v>
      </c>
      <c r="AS12" s="124">
        <f t="shared" si="14"/>
        <v>0</v>
      </c>
      <c r="AT12" s="124">
        <f t="shared" si="15"/>
        <v>0</v>
      </c>
      <c r="AU12" s="124">
        <f t="shared" si="16"/>
        <v>0</v>
      </c>
      <c r="AV12" s="117" t="s">
        <v>33</v>
      </c>
      <c r="AW12" s="129">
        <f>IF(($R$40=AV12)*AND($R$41&lt;&gt;""),VLOOKUP($R$41,'Barèmes police'!$N$4:$O$30,2),0)</f>
        <v>0</v>
      </c>
      <c r="AX12" s="16" t="str">
        <f>IF('Types de jours'!F18&lt;&gt;"",'Types de jours'!F18,"")</f>
        <v>Acc. de travail</v>
      </c>
      <c r="AY12" s="144">
        <f>IF(AX12&lt;&gt;"",'Types de jours'!I18,"")</f>
        <v>0.31666666666666665</v>
      </c>
      <c r="AZ12" s="269"/>
      <c r="BA12" s="154"/>
      <c r="BB12" s="154"/>
      <c r="BC12" s="154"/>
      <c r="BD12" s="154"/>
      <c r="BE12" s="154"/>
      <c r="BF12" s="154"/>
    </row>
    <row r="13" spans="1:58" ht="12.75" customHeight="1" x14ac:dyDescent="0.2">
      <c r="A13" s="34"/>
      <c r="B13" s="24" t="str">
        <f t="shared" si="0"/>
        <v>Me</v>
      </c>
      <c r="C13" s="25">
        <f t="shared" si="22"/>
        <v>45602</v>
      </c>
      <c r="D13" s="51"/>
      <c r="E13" s="116"/>
      <c r="F13" s="52"/>
      <c r="G13" s="53"/>
      <c r="H13" s="52"/>
      <c r="I13" s="53"/>
      <c r="J13" s="54"/>
      <c r="K13" s="55"/>
      <c r="L13" s="40">
        <f t="shared" si="1"/>
        <v>0</v>
      </c>
      <c r="M13" s="41">
        <f t="shared" si="23"/>
        <v>0</v>
      </c>
      <c r="N13" s="42">
        <f>IF(AND(D13&lt;&gt;"Jour libre 4/5",B13&lt;&gt;"Sa",B13&lt;&gt;"Di"),SUM(N12,Configuration!$H$41),SUM(N12))</f>
        <v>1.2666666666666666</v>
      </c>
      <c r="O13" s="49" t="str">
        <f t="shared" si="24"/>
        <v>-</v>
      </c>
      <c r="P13" s="143">
        <f t="shared" si="17"/>
        <v>1.2666666666666666</v>
      </c>
      <c r="Q13" s="167">
        <f t="shared" si="18"/>
        <v>0</v>
      </c>
      <c r="R13" s="168">
        <f t="shared" si="18"/>
        <v>0</v>
      </c>
      <c r="S13" s="168">
        <f t="shared" si="18"/>
        <v>0</v>
      </c>
      <c r="T13" s="169">
        <f t="shared" si="18"/>
        <v>0</v>
      </c>
      <c r="U13" s="97">
        <f t="shared" si="2"/>
        <v>0</v>
      </c>
      <c r="V13" s="97">
        <f t="shared" si="3"/>
        <v>0</v>
      </c>
      <c r="W13" s="97">
        <f t="shared" si="4"/>
        <v>0</v>
      </c>
      <c r="X13" s="97">
        <f t="shared" si="5"/>
        <v>0</v>
      </c>
      <c r="Y13" s="209"/>
      <c r="Z13" s="210"/>
      <c r="AA13" s="210"/>
      <c r="AB13" s="128">
        <f>IF(AND(D13="Jour férié semaine",((G13-F13)+(I13-H13)+(K13-J13)=0)),VLOOKUP(D13,Systeemgegevens!$J:$K,2,FALSE),0)</f>
        <v>0</v>
      </c>
      <c r="AC13" s="43">
        <f>IF(AND(NOT(ISERROR(FIND("Congé",D13))),ISERROR(FIND("1/2",D13)),ISERROR(FIND("Synd",D13)),ISERROR(FIND("synd",D13)),(G13-F13+I13-H13+K13-J13)=0),VLOOKUP(D13,Systeemgegevens!$J:$K,2,FALSE),IF(AND(NOT(ISERROR(FIND("1/2 Congé + ",D13))),(G13-F13+I13-H13+K13-J13)=0),VLOOKUP(D13,Systeemgegevens!$J:$K,2,FALSE)/2,IF(AND(NOT(ISERROR(FIND("1/2 Congé",D13))),ISERROR(FIND(" + ",D13)),ISERROR(FIND("1/2 Congé Synd.",D13))),VLOOKUP(D13,Systeemgegevens!$J:$K,2,FALSE),0)))</f>
        <v>0</v>
      </c>
      <c r="AD13" s="43">
        <f>IF(AND(OR(D13="1/2 Congé Synd.",D13="Congé Synd."),((G13-F13)+(I13-H13)+(K13-J13)=0)),VLOOKUP(D13,Systeemgegevens!$J:$K,2,FALSE),IF(AND(D13="1/2 Congé + 1/2 synd.",((G13-F13)+(I13-H13)+(K13-J13)=0)),AC13,0))</f>
        <v>0</v>
      </c>
      <c r="AE13" s="43">
        <f>IF(AND(D13="Jour de pont",((G13-F13)+(I13-H13)+(K13-J13)=0)),VLOOKUP(D13,Systeemgegevens!$J:$K,2,FALSE),0)</f>
        <v>0</v>
      </c>
      <c r="AF13" s="43">
        <f>IF(AND(D13="Jour libre 4/5",AND((G13-F13)+(I13-H13)+(K13-J13)=0)),VLOOKUP(D13,Systeemgegevens!$J:$K,2,FALSE),0)</f>
        <v>0</v>
      </c>
      <c r="AG13" s="118">
        <f>IF(AND(D13&lt;&gt;"",SUM(AB13:AF13)=0,D13&lt;&gt;$AB$4,D13&lt;&gt;$AC$4,D13&lt;&gt;$AE$4,D13&lt;&gt;$AF$4),VLOOKUP(D13,Systeemgegevens!$J:$K,2,FALSE),0)</f>
        <v>0</v>
      </c>
      <c r="AH13" s="119">
        <f t="shared" si="6"/>
        <v>0</v>
      </c>
      <c r="AI13" s="101">
        <f t="shared" si="7"/>
        <v>0</v>
      </c>
      <c r="AJ13" s="118">
        <f t="shared" si="19"/>
        <v>0</v>
      </c>
      <c r="AK13" s="119">
        <f t="shared" si="8"/>
        <v>0</v>
      </c>
      <c r="AL13" s="101">
        <f t="shared" si="9"/>
        <v>0</v>
      </c>
      <c r="AM13" s="43">
        <f t="shared" si="20"/>
        <v>0</v>
      </c>
      <c r="AN13" s="118">
        <f t="shared" si="21"/>
        <v>0</v>
      </c>
      <c r="AO13" s="122">
        <f t="shared" si="10"/>
        <v>0</v>
      </c>
      <c r="AP13" s="107">
        <f t="shared" si="11"/>
        <v>0</v>
      </c>
      <c r="AQ13" s="107">
        <f t="shared" si="12"/>
        <v>0</v>
      </c>
      <c r="AR13" s="123">
        <f t="shared" si="13"/>
        <v>0</v>
      </c>
      <c r="AS13" s="124">
        <f t="shared" si="14"/>
        <v>0</v>
      </c>
      <c r="AT13" s="124">
        <f t="shared" si="15"/>
        <v>0</v>
      </c>
      <c r="AU13" s="124">
        <f t="shared" si="16"/>
        <v>0</v>
      </c>
      <c r="AV13" s="117" t="s">
        <v>32</v>
      </c>
      <c r="AW13" s="129">
        <f>IF(($R$40=AV13)*AND($R$41&lt;&gt;""),VLOOKUP($R$41,'Barèmes police'!$Q$4:$R$30,2),0)</f>
        <v>0</v>
      </c>
      <c r="AX13" s="16" t="str">
        <f>IF('Types de jours'!F19&lt;&gt;"",'Types de jours'!F19,"")</f>
        <v>Congé Synd.</v>
      </c>
      <c r="AY13" s="144">
        <f>IF(AX13&lt;&gt;"",'Types de jours'!I19,"")</f>
        <v>0.31666666666666665</v>
      </c>
      <c r="AZ13" s="269"/>
      <c r="BA13" s="154"/>
      <c r="BB13" s="154"/>
      <c r="BC13" s="154"/>
      <c r="BD13" s="154"/>
      <c r="BE13" s="154"/>
      <c r="BF13" s="154"/>
    </row>
    <row r="14" spans="1:58" ht="12.75" customHeight="1" x14ac:dyDescent="0.2">
      <c r="A14" s="34"/>
      <c r="B14" s="24" t="str">
        <f t="shared" si="0"/>
        <v>Je</v>
      </c>
      <c r="C14" s="25">
        <f t="shared" si="22"/>
        <v>45603</v>
      </c>
      <c r="D14" s="51"/>
      <c r="E14" s="116"/>
      <c r="F14" s="52"/>
      <c r="G14" s="53"/>
      <c r="H14" s="52"/>
      <c r="I14" s="53"/>
      <c r="J14" s="54"/>
      <c r="K14" s="55"/>
      <c r="L14" s="40">
        <f t="shared" si="1"/>
        <v>0</v>
      </c>
      <c r="M14" s="41">
        <f t="shared" si="23"/>
        <v>0</v>
      </c>
      <c r="N14" s="42">
        <f>IF(AND(D14&lt;&gt;"Jour libre 4/5",B14&lt;&gt;"Sa",B14&lt;&gt;"Di"),SUM(N13,Configuration!$H$41),SUM(N13))</f>
        <v>1.5833333333333333</v>
      </c>
      <c r="O14" s="49" t="str">
        <f t="shared" si="24"/>
        <v>-</v>
      </c>
      <c r="P14" s="143">
        <f t="shared" si="17"/>
        <v>1.5833333333333333</v>
      </c>
      <c r="Q14" s="167">
        <f t="shared" si="18"/>
        <v>0</v>
      </c>
      <c r="R14" s="168">
        <f t="shared" si="18"/>
        <v>0</v>
      </c>
      <c r="S14" s="168">
        <f t="shared" si="18"/>
        <v>0</v>
      </c>
      <c r="T14" s="169">
        <f t="shared" si="18"/>
        <v>0</v>
      </c>
      <c r="U14" s="97">
        <f t="shared" si="2"/>
        <v>0</v>
      </c>
      <c r="V14" s="97">
        <f t="shared" si="3"/>
        <v>0</v>
      </c>
      <c r="W14" s="97">
        <f t="shared" si="4"/>
        <v>0</v>
      </c>
      <c r="X14" s="97">
        <f t="shared" si="5"/>
        <v>0</v>
      </c>
      <c r="Y14" s="209"/>
      <c r="Z14" s="210"/>
      <c r="AA14" s="210"/>
      <c r="AB14" s="128">
        <f>IF(AND(D14="Jour férié semaine",((G14-F14)+(I14-H14)+(K14-J14)=0)),VLOOKUP(D14,Systeemgegevens!$J:$K,2,FALSE),0)</f>
        <v>0</v>
      </c>
      <c r="AC14" s="43">
        <f>IF(AND(NOT(ISERROR(FIND("Congé",D14))),ISERROR(FIND("1/2",D14)),ISERROR(FIND("Synd",D14)),ISERROR(FIND("synd",D14)),(G14-F14+I14-H14+K14-J14)=0),VLOOKUP(D14,Systeemgegevens!$J:$K,2,FALSE),IF(AND(NOT(ISERROR(FIND("1/2 Congé + ",D14))),(G14-F14+I14-H14+K14-J14)=0),VLOOKUP(D14,Systeemgegevens!$J:$K,2,FALSE)/2,IF(AND(NOT(ISERROR(FIND("1/2 Congé",D14))),ISERROR(FIND(" + ",D14)),ISERROR(FIND("1/2 Congé Synd.",D14))),VLOOKUP(D14,Systeemgegevens!$J:$K,2,FALSE),0)))</f>
        <v>0</v>
      </c>
      <c r="AD14" s="43">
        <f>IF(AND(OR(D14="1/2 Congé Synd.",D14="Congé Synd."),((G14-F14)+(I14-H14)+(K14-J14)=0)),VLOOKUP(D14,Systeemgegevens!$J:$K,2,FALSE),IF(AND(D14="1/2 Congé + 1/2 synd.",((G14-F14)+(I14-H14)+(K14-J14)=0)),AC14,0))</f>
        <v>0</v>
      </c>
      <c r="AE14" s="43">
        <f>IF(AND(D14="Jour de pont",((G14-F14)+(I14-H14)+(K14-J14)=0)),VLOOKUP(D14,Systeemgegevens!$J:$K,2,FALSE),0)</f>
        <v>0</v>
      </c>
      <c r="AF14" s="43">
        <f>IF(AND(D14="Jour libre 4/5",AND((G14-F14)+(I14-H14)+(K14-J14)=0)),VLOOKUP(D14,Systeemgegevens!$J:$K,2,FALSE),0)</f>
        <v>0</v>
      </c>
      <c r="AG14" s="118">
        <f>IF(AND(D14&lt;&gt;"",SUM(AB14:AF14)=0,D14&lt;&gt;$AB$4,D14&lt;&gt;$AC$4,D14&lt;&gt;$AE$4,D14&lt;&gt;$AF$4),VLOOKUP(D14,Systeemgegevens!$J:$K,2,FALSE),0)</f>
        <v>0</v>
      </c>
      <c r="AH14" s="119">
        <f t="shared" si="6"/>
        <v>0</v>
      </c>
      <c r="AI14" s="101">
        <f t="shared" si="7"/>
        <v>0</v>
      </c>
      <c r="AJ14" s="118">
        <f t="shared" si="19"/>
        <v>0</v>
      </c>
      <c r="AK14" s="119">
        <f t="shared" si="8"/>
        <v>0</v>
      </c>
      <c r="AL14" s="101">
        <f t="shared" si="9"/>
        <v>0</v>
      </c>
      <c r="AM14" s="43">
        <f t="shared" si="20"/>
        <v>0</v>
      </c>
      <c r="AN14" s="118">
        <f t="shared" si="21"/>
        <v>0</v>
      </c>
      <c r="AO14" s="122">
        <f t="shared" si="10"/>
        <v>0</v>
      </c>
      <c r="AP14" s="107">
        <f t="shared" si="11"/>
        <v>0</v>
      </c>
      <c r="AQ14" s="107">
        <f t="shared" si="12"/>
        <v>0</v>
      </c>
      <c r="AR14" s="123">
        <f t="shared" si="13"/>
        <v>0</v>
      </c>
      <c r="AS14" s="124">
        <f t="shared" si="14"/>
        <v>0</v>
      </c>
      <c r="AT14" s="124">
        <f t="shared" si="15"/>
        <v>0</v>
      </c>
      <c r="AU14" s="124">
        <f t="shared" si="16"/>
        <v>0</v>
      </c>
      <c r="AV14" s="117" t="s">
        <v>31</v>
      </c>
      <c r="AW14" s="129">
        <f>IF(($R$40=AV14)*AND($R$41&lt;&gt;""),VLOOKUP($R$41,'Barèmes police'!$T$4:$U$30,2),0)</f>
        <v>0</v>
      </c>
      <c r="AX14" s="16" t="str">
        <f>IF('Types de jours'!F20&lt;&gt;"",'Types de jours'!F20,"")</f>
        <v>1/2 Congé Synd.</v>
      </c>
      <c r="AY14" s="144">
        <f>IF(AX14&lt;&gt;"",'Types de jours'!I20,"")</f>
        <v>0.15833333333333333</v>
      </c>
      <c r="AZ14" s="269"/>
      <c r="BA14" s="154"/>
      <c r="BB14" s="154"/>
      <c r="BC14" s="154"/>
      <c r="BD14" s="154"/>
      <c r="BE14" s="154"/>
      <c r="BF14" s="154"/>
    </row>
    <row r="15" spans="1:58" ht="12.75" customHeight="1" x14ac:dyDescent="0.2">
      <c r="A15" s="34"/>
      <c r="B15" s="24" t="str">
        <f t="shared" si="0"/>
        <v>Ve</v>
      </c>
      <c r="C15" s="25">
        <f t="shared" si="22"/>
        <v>45604</v>
      </c>
      <c r="D15" s="51"/>
      <c r="E15" s="116"/>
      <c r="F15" s="52"/>
      <c r="G15" s="53"/>
      <c r="H15" s="52"/>
      <c r="I15" s="53"/>
      <c r="J15" s="54"/>
      <c r="K15" s="55"/>
      <c r="L15" s="40">
        <f t="shared" si="1"/>
        <v>0</v>
      </c>
      <c r="M15" s="41">
        <f t="shared" si="23"/>
        <v>0</v>
      </c>
      <c r="N15" s="42">
        <f>IF(AND(D15&lt;&gt;"Jour libre 4/5",B15&lt;&gt;"Sa",B15&lt;&gt;"Di"),SUM(N14,Configuration!$H$41),SUM(N14))</f>
        <v>1.9</v>
      </c>
      <c r="O15" s="49" t="str">
        <f t="shared" si="24"/>
        <v>-</v>
      </c>
      <c r="P15" s="143">
        <f t="shared" si="17"/>
        <v>1.9</v>
      </c>
      <c r="Q15" s="167">
        <f t="shared" si="18"/>
        <v>0</v>
      </c>
      <c r="R15" s="168">
        <f t="shared" si="18"/>
        <v>0</v>
      </c>
      <c r="S15" s="168">
        <f t="shared" si="18"/>
        <v>0</v>
      </c>
      <c r="T15" s="169">
        <f t="shared" si="18"/>
        <v>0</v>
      </c>
      <c r="U15" s="97">
        <f t="shared" si="2"/>
        <v>0</v>
      </c>
      <c r="V15" s="97">
        <f t="shared" si="3"/>
        <v>0</v>
      </c>
      <c r="W15" s="97">
        <f t="shared" si="4"/>
        <v>0</v>
      </c>
      <c r="X15" s="97">
        <f t="shared" si="5"/>
        <v>0</v>
      </c>
      <c r="Y15" s="209"/>
      <c r="Z15" s="210"/>
      <c r="AA15" s="210"/>
      <c r="AB15" s="128">
        <f>IF(AND(D15="Jour férié semaine",((G15-F15)+(I15-H15)+(K15-J15)=0)),VLOOKUP(D15,Systeemgegevens!$J:$K,2,FALSE),0)</f>
        <v>0</v>
      </c>
      <c r="AC15" s="43">
        <f>IF(AND(NOT(ISERROR(FIND("Congé",D15))),ISERROR(FIND("1/2",D15)),ISERROR(FIND("Synd",D15)),ISERROR(FIND("synd",D15)),(G15-F15+I15-H15+K15-J15)=0),VLOOKUP(D15,Systeemgegevens!$J:$K,2,FALSE),IF(AND(NOT(ISERROR(FIND("1/2 Congé + ",D15))),(G15-F15+I15-H15+K15-J15)=0),VLOOKUP(D15,Systeemgegevens!$J:$K,2,FALSE)/2,IF(AND(NOT(ISERROR(FIND("1/2 Congé",D15))),ISERROR(FIND(" + ",D15)),ISERROR(FIND("1/2 Congé Synd.",D15))),VLOOKUP(D15,Systeemgegevens!$J:$K,2,FALSE),0)))</f>
        <v>0</v>
      </c>
      <c r="AD15" s="43">
        <f>IF(AND(OR(D15="1/2 Congé Synd.",D15="Congé Synd."),((G15-F15)+(I15-H15)+(K15-J15)=0)),VLOOKUP(D15,Systeemgegevens!$J:$K,2,FALSE),IF(AND(D15="1/2 Congé + 1/2 synd.",((G15-F15)+(I15-H15)+(K15-J15)=0)),AC15,0))</f>
        <v>0</v>
      </c>
      <c r="AE15" s="43">
        <f>IF(AND(D15="Jour de pont",((G15-F15)+(I15-H15)+(K15-J15)=0)),VLOOKUP(D15,Systeemgegevens!$J:$K,2,FALSE),0)</f>
        <v>0</v>
      </c>
      <c r="AF15" s="43">
        <f>IF(AND(D15="Jour libre 4/5",AND((G15-F15)+(I15-H15)+(K15-J15)=0)),VLOOKUP(D15,Systeemgegevens!$J:$K,2,FALSE),0)</f>
        <v>0</v>
      </c>
      <c r="AG15" s="118">
        <f>IF(AND(D15&lt;&gt;"",SUM(AB15:AF15)=0,D15&lt;&gt;$AB$4,D15&lt;&gt;$AC$4,D15&lt;&gt;$AE$4,D15&lt;&gt;$AF$4),VLOOKUP(D15,Systeemgegevens!$J:$K,2,FALSE),0)</f>
        <v>0</v>
      </c>
      <c r="AH15" s="119">
        <f t="shared" si="6"/>
        <v>0</v>
      </c>
      <c r="AI15" s="101">
        <f t="shared" si="7"/>
        <v>0</v>
      </c>
      <c r="AJ15" s="118">
        <f t="shared" si="19"/>
        <v>0</v>
      </c>
      <c r="AK15" s="119">
        <f t="shared" si="8"/>
        <v>0</v>
      </c>
      <c r="AL15" s="101">
        <f t="shared" si="9"/>
        <v>0</v>
      </c>
      <c r="AM15" s="43">
        <f t="shared" si="20"/>
        <v>0</v>
      </c>
      <c r="AN15" s="118">
        <f t="shared" si="21"/>
        <v>0</v>
      </c>
      <c r="AO15" s="122">
        <f t="shared" si="10"/>
        <v>0</v>
      </c>
      <c r="AP15" s="107">
        <f t="shared" si="11"/>
        <v>0</v>
      </c>
      <c r="AQ15" s="107">
        <f t="shared" si="12"/>
        <v>0</v>
      </c>
      <c r="AR15" s="123">
        <f t="shared" si="13"/>
        <v>0</v>
      </c>
      <c r="AS15" s="124">
        <f t="shared" si="14"/>
        <v>0</v>
      </c>
      <c r="AT15" s="124">
        <f t="shared" si="15"/>
        <v>0</v>
      </c>
      <c r="AU15" s="124">
        <f t="shared" si="16"/>
        <v>0</v>
      </c>
      <c r="AV15" s="117" t="s">
        <v>30</v>
      </c>
      <c r="AW15" s="129">
        <f>IF(($R$40=AV15)*AND($R$41&lt;&gt;""),VLOOKUP($R$41,'Barèmes police'!$W$4:$X$30,2),0)</f>
        <v>0</v>
      </c>
      <c r="AX15" s="16" t="str">
        <f>IF('Types de jours'!F21&lt;&gt;"",'Types de jours'!F21,"")</f>
        <v>1/2 Congé + 1/2 synd.</v>
      </c>
      <c r="AY15" s="144">
        <f>IF(AX15&lt;&gt;"",'Types de jours'!I21,"")</f>
        <v>0.31666666666666665</v>
      </c>
      <c r="AZ15" s="269"/>
      <c r="BA15" s="154"/>
      <c r="BB15" s="154"/>
      <c r="BC15" s="154"/>
      <c r="BD15" s="154"/>
      <c r="BE15" s="154"/>
      <c r="BF15" s="154"/>
    </row>
    <row r="16" spans="1:58" ht="12.75" customHeight="1" x14ac:dyDescent="0.2">
      <c r="A16" s="34"/>
      <c r="B16" s="24" t="str">
        <f t="shared" si="0"/>
        <v>Sa</v>
      </c>
      <c r="C16" s="25">
        <f t="shared" si="22"/>
        <v>45605</v>
      </c>
      <c r="D16" s="51"/>
      <c r="E16" s="116"/>
      <c r="F16" s="52"/>
      <c r="G16" s="53"/>
      <c r="H16" s="52"/>
      <c r="I16" s="53"/>
      <c r="J16" s="54"/>
      <c r="K16" s="55"/>
      <c r="L16" s="40">
        <f t="shared" si="1"/>
        <v>0</v>
      </c>
      <c r="M16" s="41">
        <f t="shared" si="23"/>
        <v>0</v>
      </c>
      <c r="N16" s="42">
        <f>IF(AND(D16&lt;&gt;"Jour libre 4/5",B16&lt;&gt;"Sa",B16&lt;&gt;"Di"),SUM(N15,Configuration!$H$41),SUM(N15))</f>
        <v>1.9</v>
      </c>
      <c r="O16" s="49" t="str">
        <f t="shared" si="24"/>
        <v>-</v>
      </c>
      <c r="P16" s="143">
        <f t="shared" si="17"/>
        <v>1.9</v>
      </c>
      <c r="Q16" s="167">
        <f t="shared" si="18"/>
        <v>0</v>
      </c>
      <c r="R16" s="168">
        <f t="shared" si="18"/>
        <v>0</v>
      </c>
      <c r="S16" s="168">
        <f t="shared" si="18"/>
        <v>0</v>
      </c>
      <c r="T16" s="169">
        <f t="shared" si="18"/>
        <v>0</v>
      </c>
      <c r="U16" s="97">
        <f t="shared" si="2"/>
        <v>0</v>
      </c>
      <c r="V16" s="97">
        <f t="shared" si="3"/>
        <v>0</v>
      </c>
      <c r="W16" s="97">
        <f t="shared" si="4"/>
        <v>0</v>
      </c>
      <c r="X16" s="97">
        <f t="shared" si="5"/>
        <v>0</v>
      </c>
      <c r="Y16" s="209"/>
      <c r="Z16" s="210"/>
      <c r="AA16" s="210"/>
      <c r="AB16" s="128">
        <f>IF(AND(D16="Jour férié semaine",((G16-F16)+(I16-H16)+(K16-J16)=0)),VLOOKUP(D16,Systeemgegevens!$J:$K,2,FALSE),0)</f>
        <v>0</v>
      </c>
      <c r="AC16" s="43">
        <f>IF(AND(NOT(ISERROR(FIND("Congé",D16))),ISERROR(FIND("1/2",D16)),ISERROR(FIND("Synd",D16)),ISERROR(FIND("synd",D16)),(G16-F16+I16-H16+K16-J16)=0),VLOOKUP(D16,Systeemgegevens!$J:$K,2,FALSE),IF(AND(NOT(ISERROR(FIND("1/2 Congé + ",D16))),(G16-F16+I16-H16+K16-J16)=0),VLOOKUP(D16,Systeemgegevens!$J:$K,2,FALSE)/2,IF(AND(NOT(ISERROR(FIND("1/2 Congé",D16))),ISERROR(FIND(" + ",D16)),ISERROR(FIND("1/2 Congé Synd.",D16))),VLOOKUP(D16,Systeemgegevens!$J:$K,2,FALSE),0)))</f>
        <v>0</v>
      </c>
      <c r="AD16" s="43">
        <f>IF(AND(OR(D16="1/2 Congé Synd.",D16="Congé Synd."),((G16-F16)+(I16-H16)+(K16-J16)=0)),VLOOKUP(D16,Systeemgegevens!$J:$K,2,FALSE),IF(AND(D16="1/2 Congé + 1/2 synd.",((G16-F16)+(I16-H16)+(K16-J16)=0)),AC16,0))</f>
        <v>0</v>
      </c>
      <c r="AE16" s="43">
        <f>IF(AND(D16="Jour de pont",((G16-F16)+(I16-H16)+(K16-J16)=0)),VLOOKUP(D16,Systeemgegevens!$J:$K,2,FALSE),0)</f>
        <v>0</v>
      </c>
      <c r="AF16" s="43">
        <f>IF(AND(D16="Jour libre 4/5",AND((G16-F16)+(I16-H16)+(K16-J16)=0)),VLOOKUP(D16,Systeemgegevens!$J:$K,2,FALSE),0)</f>
        <v>0</v>
      </c>
      <c r="AG16" s="118">
        <f>IF(AND(D16&lt;&gt;"",SUM(AB16:AF16)=0,D16&lt;&gt;$AB$4,D16&lt;&gt;$AC$4,D16&lt;&gt;$AE$4,D16&lt;&gt;$AF$4),VLOOKUP(D16,Systeemgegevens!$J:$K,2,FALSE),0)</f>
        <v>0</v>
      </c>
      <c r="AH16" s="119">
        <f t="shared" si="6"/>
        <v>0</v>
      </c>
      <c r="AI16" s="101">
        <f t="shared" si="7"/>
        <v>0</v>
      </c>
      <c r="AJ16" s="118">
        <f t="shared" si="19"/>
        <v>0</v>
      </c>
      <c r="AK16" s="119">
        <f t="shared" si="8"/>
        <v>0</v>
      </c>
      <c r="AL16" s="101">
        <f t="shared" si="9"/>
        <v>0</v>
      </c>
      <c r="AM16" s="43">
        <f t="shared" si="20"/>
        <v>0</v>
      </c>
      <c r="AN16" s="118">
        <f t="shared" si="21"/>
        <v>0</v>
      </c>
      <c r="AO16" s="122">
        <f t="shared" si="10"/>
        <v>0</v>
      </c>
      <c r="AP16" s="107">
        <f t="shared" si="11"/>
        <v>0</v>
      </c>
      <c r="AQ16" s="107">
        <f t="shared" si="12"/>
        <v>0</v>
      </c>
      <c r="AR16" s="123">
        <f t="shared" si="13"/>
        <v>0</v>
      </c>
      <c r="AS16" s="124">
        <f t="shared" si="14"/>
        <v>0</v>
      </c>
      <c r="AT16" s="124">
        <f t="shared" si="15"/>
        <v>0</v>
      </c>
      <c r="AU16" s="124">
        <f t="shared" si="16"/>
        <v>0</v>
      </c>
      <c r="AV16" s="117" t="s">
        <v>29</v>
      </c>
      <c r="AW16" s="129">
        <f>IF(($R$40=AV16)*AND($R$41&lt;&gt;""),VLOOKUP($R$41,'Barèmes police'!$Z$4:$AA$30,2),0)</f>
        <v>0</v>
      </c>
      <c r="AX16" s="16" t="str">
        <f>IF('Types de jours'!F22&lt;&gt;"",'Types de jours'!F22,"")</f>
        <v>Jour férié semaine</v>
      </c>
      <c r="AY16" s="144">
        <f>IF(AX16&lt;&gt;"",'Types de jours'!I22,"")</f>
        <v>0.31666666666666665</v>
      </c>
      <c r="AZ16" s="269"/>
      <c r="BA16" s="154"/>
      <c r="BB16" s="154"/>
      <c r="BC16" s="154"/>
      <c r="BD16" s="154"/>
      <c r="BE16" s="154"/>
      <c r="BF16" s="154"/>
    </row>
    <row r="17" spans="1:58" ht="12.75" customHeight="1" x14ac:dyDescent="0.2">
      <c r="A17" s="34"/>
      <c r="B17" s="24" t="str">
        <f t="shared" si="0"/>
        <v>Di</v>
      </c>
      <c r="C17" s="25">
        <f t="shared" si="22"/>
        <v>45606</v>
      </c>
      <c r="D17" s="51"/>
      <c r="E17" s="116"/>
      <c r="F17" s="52"/>
      <c r="G17" s="53"/>
      <c r="H17" s="52"/>
      <c r="I17" s="53"/>
      <c r="J17" s="54"/>
      <c r="K17" s="55"/>
      <c r="L17" s="40">
        <f t="shared" si="1"/>
        <v>0</v>
      </c>
      <c r="M17" s="41">
        <f t="shared" si="23"/>
        <v>0</v>
      </c>
      <c r="N17" s="42">
        <f>IF(AND(D17&lt;&gt;"Jour libre 4/5",B17&lt;&gt;"Sa",B17&lt;&gt;"Di"),SUM(N16,Configuration!$H$41),SUM(N16))</f>
        <v>1.9</v>
      </c>
      <c r="O17" s="49" t="str">
        <f t="shared" si="24"/>
        <v>-</v>
      </c>
      <c r="P17" s="143">
        <f t="shared" si="17"/>
        <v>1.9</v>
      </c>
      <c r="Q17" s="167">
        <f t="shared" si="18"/>
        <v>0</v>
      </c>
      <c r="R17" s="168">
        <f t="shared" si="18"/>
        <v>0</v>
      </c>
      <c r="S17" s="168">
        <f t="shared" si="18"/>
        <v>0</v>
      </c>
      <c r="T17" s="169">
        <f t="shared" si="18"/>
        <v>0</v>
      </c>
      <c r="U17" s="97">
        <f t="shared" si="2"/>
        <v>0</v>
      </c>
      <c r="V17" s="97">
        <f t="shared" si="3"/>
        <v>0</v>
      </c>
      <c r="W17" s="97">
        <f t="shared" si="4"/>
        <v>0</v>
      </c>
      <c r="X17" s="97">
        <f t="shared" si="5"/>
        <v>0</v>
      </c>
      <c r="Y17" s="209"/>
      <c r="Z17" s="210"/>
      <c r="AA17" s="210"/>
      <c r="AB17" s="128">
        <f>IF(AND(D17="Jour férié semaine",((G17-F17)+(I17-H17)+(K17-J17)=0)),VLOOKUP(D17,Systeemgegevens!$J:$K,2,FALSE),0)</f>
        <v>0</v>
      </c>
      <c r="AC17" s="43">
        <f>IF(AND(NOT(ISERROR(FIND("Congé",D17))),ISERROR(FIND("1/2",D17)),ISERROR(FIND("Synd",D17)),ISERROR(FIND("synd",D17)),(G17-F17+I17-H17+K17-J17)=0),VLOOKUP(D17,Systeemgegevens!$J:$K,2,FALSE),IF(AND(NOT(ISERROR(FIND("1/2 Congé + ",D17))),(G17-F17+I17-H17+K17-J17)=0),VLOOKUP(D17,Systeemgegevens!$J:$K,2,FALSE)/2,IF(AND(NOT(ISERROR(FIND("1/2 Congé",D17))),ISERROR(FIND(" + ",D17)),ISERROR(FIND("1/2 Congé Synd.",D17))),VLOOKUP(D17,Systeemgegevens!$J:$K,2,FALSE),0)))</f>
        <v>0</v>
      </c>
      <c r="AD17" s="43">
        <f>IF(AND(OR(D17="1/2 Congé Synd.",D17="Congé Synd."),((G17-F17)+(I17-H17)+(K17-J17)=0)),VLOOKUP(D17,Systeemgegevens!$J:$K,2,FALSE),IF(AND(D17="1/2 Congé + 1/2 synd.",((G17-F17)+(I17-H17)+(K17-J17)=0)),AC17,0))</f>
        <v>0</v>
      </c>
      <c r="AE17" s="43">
        <f>IF(AND(D17="Jour de pont",((G17-F17)+(I17-H17)+(K17-J17)=0)),VLOOKUP(D17,Systeemgegevens!$J:$K,2,FALSE),0)</f>
        <v>0</v>
      </c>
      <c r="AF17" s="43">
        <f>IF(AND(D17="Jour libre 4/5",AND((G17-F17)+(I17-H17)+(K17-J17)=0)),VLOOKUP(D17,Systeemgegevens!$J:$K,2,FALSE),0)</f>
        <v>0</v>
      </c>
      <c r="AG17" s="118">
        <f>IF(AND(D17&lt;&gt;"",SUM(AB17:AF17)=0,D17&lt;&gt;$AB$4,D17&lt;&gt;$AC$4,D17&lt;&gt;$AE$4,D17&lt;&gt;$AF$4),VLOOKUP(D17,Systeemgegevens!$J:$K,2,FALSE),0)</f>
        <v>0</v>
      </c>
      <c r="AH17" s="119">
        <f t="shared" si="6"/>
        <v>0</v>
      </c>
      <c r="AI17" s="101">
        <f t="shared" si="7"/>
        <v>0</v>
      </c>
      <c r="AJ17" s="118">
        <f t="shared" si="19"/>
        <v>0</v>
      </c>
      <c r="AK17" s="119">
        <f t="shared" si="8"/>
        <v>0</v>
      </c>
      <c r="AL17" s="101">
        <f t="shared" si="9"/>
        <v>0</v>
      </c>
      <c r="AM17" s="43">
        <f t="shared" si="20"/>
        <v>0</v>
      </c>
      <c r="AN17" s="118">
        <f t="shared" si="21"/>
        <v>0</v>
      </c>
      <c r="AO17" s="122">
        <f t="shared" si="10"/>
        <v>0</v>
      </c>
      <c r="AP17" s="107">
        <f t="shared" si="11"/>
        <v>0</v>
      </c>
      <c r="AQ17" s="107">
        <f t="shared" si="12"/>
        <v>0</v>
      </c>
      <c r="AR17" s="123">
        <f t="shared" si="13"/>
        <v>0</v>
      </c>
      <c r="AS17" s="124">
        <f t="shared" si="14"/>
        <v>0</v>
      </c>
      <c r="AT17" s="124">
        <f t="shared" si="15"/>
        <v>0</v>
      </c>
      <c r="AU17" s="124">
        <f t="shared" si="16"/>
        <v>0</v>
      </c>
      <c r="AV17" s="117" t="s">
        <v>28</v>
      </c>
      <c r="AW17" s="129">
        <f>IF(($R$40=AV17)*AND($R$41&lt;&gt;""),VLOOKUP($R$41,'Barèmes police'!$AC$4:$AD$30,2),0)</f>
        <v>0</v>
      </c>
      <c r="AX17" s="16" t="str">
        <f>IF('Types de jours'!F23&lt;&gt;"",'Types de jours'!F23,"")</f>
        <v>Jour libre 4/5</v>
      </c>
      <c r="AY17" s="144">
        <f>IF(AX17&lt;&gt;"",'Types de jours'!I23,"")</f>
        <v>0</v>
      </c>
      <c r="AZ17" s="269"/>
      <c r="BA17" s="154"/>
      <c r="BB17" s="154"/>
      <c r="BC17" s="154"/>
      <c r="BD17" s="154"/>
      <c r="BE17" s="154"/>
      <c r="BF17" s="154"/>
    </row>
    <row r="18" spans="1:58" ht="12.75" customHeight="1" x14ac:dyDescent="0.2">
      <c r="A18" s="34"/>
      <c r="B18" s="24" t="str">
        <f t="shared" si="0"/>
        <v>Lu</v>
      </c>
      <c r="C18" s="25">
        <f t="shared" si="22"/>
        <v>45607</v>
      </c>
      <c r="D18" s="51" t="s">
        <v>259</v>
      </c>
      <c r="E18" s="116"/>
      <c r="F18" s="52"/>
      <c r="G18" s="53"/>
      <c r="H18" s="52"/>
      <c r="I18" s="53"/>
      <c r="J18" s="54"/>
      <c r="K18" s="55"/>
      <c r="L18" s="40">
        <f t="shared" si="1"/>
        <v>0.31666666666666665</v>
      </c>
      <c r="M18" s="41">
        <f t="shared" si="23"/>
        <v>0.31666666666666665</v>
      </c>
      <c r="N18" s="42">
        <f>IF(AND(D18&lt;&gt;"Jour libre 4/5",B18&lt;&gt;"Sa",B18&lt;&gt;"Di"),SUM(N17,Configuration!$H$41),SUM(N17))</f>
        <v>2.2166666666666668</v>
      </c>
      <c r="O18" s="49" t="str">
        <f t="shared" si="24"/>
        <v>-</v>
      </c>
      <c r="P18" s="143">
        <f t="shared" si="17"/>
        <v>1.9000000000000001</v>
      </c>
      <c r="Q18" s="167">
        <f t="shared" si="18"/>
        <v>0</v>
      </c>
      <c r="R18" s="168">
        <f t="shared" si="18"/>
        <v>0</v>
      </c>
      <c r="S18" s="168">
        <f t="shared" si="18"/>
        <v>0</v>
      </c>
      <c r="T18" s="169">
        <f t="shared" si="18"/>
        <v>0</v>
      </c>
      <c r="U18" s="97">
        <f t="shared" si="2"/>
        <v>0</v>
      </c>
      <c r="V18" s="97">
        <f t="shared" si="3"/>
        <v>0</v>
      </c>
      <c r="W18" s="97">
        <f t="shared" si="4"/>
        <v>0</v>
      </c>
      <c r="X18" s="97">
        <f t="shared" si="5"/>
        <v>0</v>
      </c>
      <c r="Y18" s="209"/>
      <c r="Z18" s="210"/>
      <c r="AA18" s="210"/>
      <c r="AB18" s="128">
        <f>IF(AND(D18="Jour férié semaine",((G18-F18)+(I18-H18)+(K18-J18)=0)),VLOOKUP(D18,Systeemgegevens!$J:$K,2,FALSE),0)</f>
        <v>0.31666666666666665</v>
      </c>
      <c r="AC18" s="43">
        <f>IF(AND(NOT(ISERROR(FIND("Congé",D18))),ISERROR(FIND("1/2",D18)),ISERROR(FIND("Synd",D18)),ISERROR(FIND("synd",D18)),(G18-F18+I18-H18+K18-J18)=0),VLOOKUP(D18,Systeemgegevens!$J:$K,2,FALSE),IF(AND(NOT(ISERROR(FIND("1/2 Congé + ",D18))),(G18-F18+I18-H18+K18-J18)=0),VLOOKUP(D18,Systeemgegevens!$J:$K,2,FALSE)/2,IF(AND(NOT(ISERROR(FIND("1/2 Congé",D18))),ISERROR(FIND(" + ",D18)),ISERROR(FIND("1/2 Congé Synd.",D18))),VLOOKUP(D18,Systeemgegevens!$J:$K,2,FALSE),0)))</f>
        <v>0</v>
      </c>
      <c r="AD18" s="43">
        <f>IF(AND(OR(D18="1/2 Congé Synd.",D18="Congé Synd."),((G18-F18)+(I18-H18)+(K18-J18)=0)),VLOOKUP(D18,Systeemgegevens!$J:$K,2,FALSE),IF(AND(D18="1/2 Congé + 1/2 synd.",((G18-F18)+(I18-H18)+(K18-J18)=0)),AC18,0))</f>
        <v>0</v>
      </c>
      <c r="AE18" s="43">
        <f>IF(AND(D18="Jour de pont",((G18-F18)+(I18-H18)+(K18-J18)=0)),VLOOKUP(D18,Systeemgegevens!$J:$K,2,FALSE),0)</f>
        <v>0</v>
      </c>
      <c r="AF18" s="43">
        <f>IF(AND(D18="Jour libre 4/5",AND((G18-F18)+(I18-H18)+(K18-J18)=0)),VLOOKUP(D18,Systeemgegevens!$J:$K,2,FALSE),0)</f>
        <v>0</v>
      </c>
      <c r="AG18" s="118">
        <f>IF(AND(D18&lt;&gt;"",SUM(AB18:AF18)=0,D18&lt;&gt;$AB$4,D18&lt;&gt;$AC$4,D18&lt;&gt;$AE$4,D18&lt;&gt;$AF$4),VLOOKUP(D18,Systeemgegevens!$J:$K,2,FALSE),0)</f>
        <v>0</v>
      </c>
      <c r="AH18" s="119">
        <f t="shared" si="6"/>
        <v>0</v>
      </c>
      <c r="AI18" s="101">
        <f t="shared" si="7"/>
        <v>0</v>
      </c>
      <c r="AJ18" s="118">
        <f t="shared" si="19"/>
        <v>0</v>
      </c>
      <c r="AK18" s="119">
        <f t="shared" si="8"/>
        <v>0</v>
      </c>
      <c r="AL18" s="101">
        <f t="shared" si="9"/>
        <v>0</v>
      </c>
      <c r="AM18" s="43">
        <f t="shared" si="20"/>
        <v>0</v>
      </c>
      <c r="AN18" s="118">
        <f t="shared" si="21"/>
        <v>0</v>
      </c>
      <c r="AO18" s="122">
        <f t="shared" si="10"/>
        <v>0</v>
      </c>
      <c r="AP18" s="107">
        <f t="shared" si="11"/>
        <v>0</v>
      </c>
      <c r="AQ18" s="107">
        <f t="shared" si="12"/>
        <v>0</v>
      </c>
      <c r="AR18" s="123">
        <f t="shared" si="13"/>
        <v>0</v>
      </c>
      <c r="AS18" s="124">
        <f t="shared" si="14"/>
        <v>0</v>
      </c>
      <c r="AT18" s="124">
        <f t="shared" si="15"/>
        <v>0</v>
      </c>
      <c r="AU18" s="124">
        <f t="shared" si="16"/>
        <v>0</v>
      </c>
      <c r="AV18" s="117" t="s">
        <v>27</v>
      </c>
      <c r="AW18" s="129">
        <f>IF(($R$40=AV18)*AND($R$41&lt;&gt;""),VLOOKUP($R$41,'Barèmes police'!$AF$4:$AG$30,2),0)</f>
        <v>0</v>
      </c>
      <c r="AX18" s="16" t="str">
        <f>IF('Types de jours'!F24&lt;&gt;"",'Types de jours'!F24,"")</f>
        <v>Jour de pont</v>
      </c>
      <c r="AY18" s="144">
        <f>IF(AX18&lt;&gt;"",'Types de jours'!I24,"")</f>
        <v>0.31666666666666665</v>
      </c>
      <c r="AZ18" s="269"/>
      <c r="BA18" s="154"/>
      <c r="BB18" s="154"/>
      <c r="BC18" s="154"/>
      <c r="BD18" s="154"/>
      <c r="BE18" s="154"/>
      <c r="BF18" s="154"/>
    </row>
    <row r="19" spans="1:58" ht="12.75" customHeight="1" x14ac:dyDescent="0.2">
      <c r="A19" s="34"/>
      <c r="B19" s="24" t="str">
        <f t="shared" si="0"/>
        <v>Ma</v>
      </c>
      <c r="C19" s="25">
        <f t="shared" si="22"/>
        <v>45608</v>
      </c>
      <c r="D19" s="51"/>
      <c r="E19" s="116"/>
      <c r="F19" s="52"/>
      <c r="G19" s="53"/>
      <c r="H19" s="52"/>
      <c r="I19" s="53"/>
      <c r="J19" s="54"/>
      <c r="K19" s="55"/>
      <c r="L19" s="40">
        <f t="shared" si="1"/>
        <v>0</v>
      </c>
      <c r="M19" s="41">
        <f t="shared" si="23"/>
        <v>0.31666666666666665</v>
      </c>
      <c r="N19" s="42">
        <f>IF(AND(D19&lt;&gt;"Jour libre 4/5",B19&lt;&gt;"Sa",B19&lt;&gt;"Di"),SUM(N18,Configuration!$H$41),SUM(N18))</f>
        <v>2.5333333333333332</v>
      </c>
      <c r="O19" s="49" t="str">
        <f t="shared" si="24"/>
        <v>-</v>
      </c>
      <c r="P19" s="143">
        <f t="shared" si="17"/>
        <v>2.2166666666666668</v>
      </c>
      <c r="Q19" s="167">
        <f t="shared" si="18"/>
        <v>0</v>
      </c>
      <c r="R19" s="168">
        <f t="shared" si="18"/>
        <v>0</v>
      </c>
      <c r="S19" s="168">
        <f t="shared" si="18"/>
        <v>0</v>
      </c>
      <c r="T19" s="169">
        <f t="shared" si="18"/>
        <v>0</v>
      </c>
      <c r="U19" s="97">
        <f t="shared" si="2"/>
        <v>0</v>
      </c>
      <c r="V19" s="97">
        <f t="shared" si="3"/>
        <v>0</v>
      </c>
      <c r="W19" s="97">
        <f t="shared" si="4"/>
        <v>0</v>
      </c>
      <c r="X19" s="97">
        <f t="shared" si="5"/>
        <v>0</v>
      </c>
      <c r="Y19" s="209"/>
      <c r="Z19" s="210"/>
      <c r="AA19" s="210"/>
      <c r="AB19" s="128">
        <f>IF(AND(D19="Jour férié semaine",((G19-F19)+(I19-H19)+(K19-J19)=0)),VLOOKUP(D19,Systeemgegevens!$J:$K,2,FALSE),0)</f>
        <v>0</v>
      </c>
      <c r="AC19" s="43">
        <f>IF(AND(NOT(ISERROR(FIND("Congé",D19))),ISERROR(FIND("1/2",D19)),ISERROR(FIND("Synd",D19)),ISERROR(FIND("synd",D19)),(G19-F19+I19-H19+K19-J19)=0),VLOOKUP(D19,Systeemgegevens!$J:$K,2,FALSE),IF(AND(NOT(ISERROR(FIND("1/2 Congé + ",D19))),(G19-F19+I19-H19+K19-J19)=0),VLOOKUP(D19,Systeemgegevens!$J:$K,2,FALSE)/2,IF(AND(NOT(ISERROR(FIND("1/2 Congé",D19))),ISERROR(FIND(" + ",D19)),ISERROR(FIND("1/2 Congé Synd.",D19))),VLOOKUP(D19,Systeemgegevens!$J:$K,2,FALSE),0)))</f>
        <v>0</v>
      </c>
      <c r="AD19" s="43">
        <f>IF(AND(OR(D19="1/2 Congé Synd.",D19="Congé Synd."),((G19-F19)+(I19-H19)+(K19-J19)=0)),VLOOKUP(D19,Systeemgegevens!$J:$K,2,FALSE),IF(AND(D19="1/2 Congé + 1/2 synd.",((G19-F19)+(I19-H19)+(K19-J19)=0)),AC19,0))</f>
        <v>0</v>
      </c>
      <c r="AE19" s="43">
        <f>IF(AND(D19="Jour de pont",((G19-F19)+(I19-H19)+(K19-J19)=0)),VLOOKUP(D19,Systeemgegevens!$J:$K,2,FALSE),0)</f>
        <v>0</v>
      </c>
      <c r="AF19" s="43">
        <f>IF(AND(D19="Jour libre 4/5",AND((G19-F19)+(I19-H19)+(K19-J19)=0)),VLOOKUP(D19,Systeemgegevens!$J:$K,2,FALSE),0)</f>
        <v>0</v>
      </c>
      <c r="AG19" s="118">
        <f>IF(AND(D19&lt;&gt;"",SUM(AB19:AF19)=0,D19&lt;&gt;$AB$4,D19&lt;&gt;$AC$4,D19&lt;&gt;$AE$4,D19&lt;&gt;$AF$4),VLOOKUP(D19,Systeemgegevens!$J:$K,2,FALSE),0)</f>
        <v>0</v>
      </c>
      <c r="AH19" s="119">
        <f t="shared" si="6"/>
        <v>0</v>
      </c>
      <c r="AI19" s="101">
        <f t="shared" si="7"/>
        <v>0</v>
      </c>
      <c r="AJ19" s="118">
        <f t="shared" si="19"/>
        <v>0</v>
      </c>
      <c r="AK19" s="119">
        <f t="shared" si="8"/>
        <v>0</v>
      </c>
      <c r="AL19" s="101">
        <f t="shared" si="9"/>
        <v>0</v>
      </c>
      <c r="AM19" s="43">
        <f t="shared" si="20"/>
        <v>0</v>
      </c>
      <c r="AN19" s="118">
        <f t="shared" si="21"/>
        <v>0</v>
      </c>
      <c r="AO19" s="122">
        <f t="shared" si="10"/>
        <v>0</v>
      </c>
      <c r="AP19" s="107">
        <f t="shared" si="11"/>
        <v>0</v>
      </c>
      <c r="AQ19" s="107">
        <f t="shared" si="12"/>
        <v>0</v>
      </c>
      <c r="AR19" s="123">
        <f t="shared" si="13"/>
        <v>0</v>
      </c>
      <c r="AS19" s="124">
        <f t="shared" si="14"/>
        <v>0</v>
      </c>
      <c r="AT19" s="124">
        <f t="shared" si="15"/>
        <v>0</v>
      </c>
      <c r="AU19" s="124">
        <f t="shared" si="16"/>
        <v>0</v>
      </c>
      <c r="AV19" s="117" t="s">
        <v>26</v>
      </c>
      <c r="AW19" s="129">
        <f>IF(($R$40=AV19)*AND($R$41&lt;&gt;""),VLOOKUP($R$41,'Barèmes police'!$AI$4:$AJ$30,2),0)</f>
        <v>0</v>
      </c>
      <c r="AX19" s="16" t="str">
        <f>IF('Types de jours'!F25&lt;&gt;"",'Types de jours'!F25,"")</f>
        <v>Congé 12h</v>
      </c>
      <c r="AY19" s="144">
        <f>IF(AX19&lt;&gt;"",'Types de jours'!I25,"")</f>
        <v>0.5</v>
      </c>
      <c r="AZ19" s="269"/>
      <c r="BA19" s="154"/>
      <c r="BB19" s="154"/>
      <c r="BC19" s="154"/>
      <c r="BD19" s="154"/>
      <c r="BE19" s="154"/>
      <c r="BF19" s="154"/>
    </row>
    <row r="20" spans="1:58" ht="12.75" customHeight="1" x14ac:dyDescent="0.2">
      <c r="A20" s="34"/>
      <c r="B20" s="24" t="str">
        <f t="shared" si="0"/>
        <v>Me</v>
      </c>
      <c r="C20" s="25">
        <f t="shared" si="22"/>
        <v>45609</v>
      </c>
      <c r="D20" s="51"/>
      <c r="E20" s="116"/>
      <c r="F20" s="52"/>
      <c r="G20" s="53"/>
      <c r="H20" s="52"/>
      <c r="I20" s="53"/>
      <c r="J20" s="54"/>
      <c r="K20" s="55"/>
      <c r="L20" s="40">
        <f t="shared" si="1"/>
        <v>0</v>
      </c>
      <c r="M20" s="41">
        <f t="shared" si="23"/>
        <v>0.31666666666666665</v>
      </c>
      <c r="N20" s="42">
        <f>IF(AND(D20&lt;&gt;"Jour libre 4/5",B20&lt;&gt;"Sa",B20&lt;&gt;"Di"),SUM(N19,Configuration!$H$41),SUM(N19))</f>
        <v>2.8499999999999996</v>
      </c>
      <c r="O20" s="49" t="str">
        <f t="shared" si="24"/>
        <v>-</v>
      </c>
      <c r="P20" s="143">
        <f t="shared" si="17"/>
        <v>2.5333333333333332</v>
      </c>
      <c r="Q20" s="167">
        <f t="shared" si="18"/>
        <v>0</v>
      </c>
      <c r="R20" s="168">
        <f t="shared" si="18"/>
        <v>0</v>
      </c>
      <c r="S20" s="168">
        <f t="shared" si="18"/>
        <v>0</v>
      </c>
      <c r="T20" s="169">
        <f t="shared" si="18"/>
        <v>0</v>
      </c>
      <c r="U20" s="97">
        <f t="shared" si="2"/>
        <v>0</v>
      </c>
      <c r="V20" s="97">
        <f t="shared" si="3"/>
        <v>0</v>
      </c>
      <c r="W20" s="97">
        <f t="shared" si="4"/>
        <v>0</v>
      </c>
      <c r="X20" s="97">
        <f t="shared" si="5"/>
        <v>0</v>
      </c>
      <c r="Y20" s="209"/>
      <c r="Z20" s="210"/>
      <c r="AA20" s="210"/>
      <c r="AB20" s="128">
        <f>IF(AND(D20="Jour férié semaine",((G20-F20)+(I20-H20)+(K20-J20)=0)),VLOOKUP(D20,Systeemgegevens!$J:$K,2,FALSE),0)</f>
        <v>0</v>
      </c>
      <c r="AC20" s="43">
        <f>IF(AND(NOT(ISERROR(FIND("Congé",D20))),ISERROR(FIND("1/2",D20)),ISERROR(FIND("Synd",D20)),ISERROR(FIND("synd",D20)),(G20-F20+I20-H20+K20-J20)=0),VLOOKUP(D20,Systeemgegevens!$J:$K,2,FALSE),IF(AND(NOT(ISERROR(FIND("1/2 Congé + ",D20))),(G20-F20+I20-H20+K20-J20)=0),VLOOKUP(D20,Systeemgegevens!$J:$K,2,FALSE)/2,IF(AND(NOT(ISERROR(FIND("1/2 Congé",D20))),ISERROR(FIND(" + ",D20)),ISERROR(FIND("1/2 Congé Synd.",D20))),VLOOKUP(D20,Systeemgegevens!$J:$K,2,FALSE),0)))</f>
        <v>0</v>
      </c>
      <c r="AD20" s="43">
        <f>IF(AND(OR(D20="1/2 Congé Synd.",D20="Congé Synd."),((G20-F20)+(I20-H20)+(K20-J20)=0)),VLOOKUP(D20,Systeemgegevens!$J:$K,2,FALSE),IF(AND(D20="1/2 Congé + 1/2 synd.",((G20-F20)+(I20-H20)+(K20-J20)=0)),AC20,0))</f>
        <v>0</v>
      </c>
      <c r="AE20" s="43">
        <f>IF(AND(D20="Jour de pont",((G20-F20)+(I20-H20)+(K20-J20)=0)),VLOOKUP(D20,Systeemgegevens!$J:$K,2,FALSE),0)</f>
        <v>0</v>
      </c>
      <c r="AF20" s="43">
        <f>IF(AND(D20="Jour libre 4/5",AND((G20-F20)+(I20-H20)+(K20-J20)=0)),VLOOKUP(D20,Systeemgegevens!$J:$K,2,FALSE),0)</f>
        <v>0</v>
      </c>
      <c r="AG20" s="118">
        <f>IF(AND(D20&lt;&gt;"",SUM(AB20:AF20)=0,D20&lt;&gt;$AB$4,D20&lt;&gt;$AC$4,D20&lt;&gt;$AE$4,D20&lt;&gt;$AF$4),VLOOKUP(D20,Systeemgegevens!$J:$K,2,FALSE),0)</f>
        <v>0</v>
      </c>
      <c r="AH20" s="119">
        <f t="shared" si="6"/>
        <v>0</v>
      </c>
      <c r="AI20" s="101">
        <f t="shared" si="7"/>
        <v>0</v>
      </c>
      <c r="AJ20" s="118">
        <f t="shared" si="19"/>
        <v>0</v>
      </c>
      <c r="AK20" s="119">
        <f t="shared" si="8"/>
        <v>0</v>
      </c>
      <c r="AL20" s="101">
        <f t="shared" si="9"/>
        <v>0</v>
      </c>
      <c r="AM20" s="43">
        <f t="shared" si="20"/>
        <v>0</v>
      </c>
      <c r="AN20" s="118">
        <f t="shared" si="21"/>
        <v>0</v>
      </c>
      <c r="AO20" s="122">
        <f t="shared" si="10"/>
        <v>0</v>
      </c>
      <c r="AP20" s="107">
        <f t="shared" si="11"/>
        <v>0</v>
      </c>
      <c r="AQ20" s="107">
        <f t="shared" si="12"/>
        <v>0</v>
      </c>
      <c r="AR20" s="123">
        <f t="shared" si="13"/>
        <v>0</v>
      </c>
      <c r="AS20" s="124">
        <f t="shared" si="14"/>
        <v>0</v>
      </c>
      <c r="AT20" s="124">
        <f t="shared" si="15"/>
        <v>0</v>
      </c>
      <c r="AU20" s="124">
        <f t="shared" si="16"/>
        <v>0</v>
      </c>
      <c r="AV20" s="117" t="s">
        <v>25</v>
      </c>
      <c r="AW20" s="129">
        <f>IF(($R$40=AV20)*AND($R$41&lt;&gt;""),VLOOKUP($R$41,'Barèmes police'!$AL$4:$AM$30,2),0)</f>
        <v>0</v>
      </c>
      <c r="AX20" s="16" t="str">
        <f>IF('Types de jours'!F26&lt;&gt;"",'Types de jours'!F26,"")</f>
        <v/>
      </c>
      <c r="AY20" s="144" t="str">
        <f>IF(AX20&lt;&gt;"",'Types de jours'!I26,"")</f>
        <v/>
      </c>
      <c r="AZ20" s="269"/>
      <c r="BA20" s="154"/>
      <c r="BB20" s="154"/>
      <c r="BC20" s="154"/>
      <c r="BD20" s="154"/>
      <c r="BE20" s="154"/>
      <c r="BF20" s="154"/>
    </row>
    <row r="21" spans="1:58" ht="12.75" customHeight="1" x14ac:dyDescent="0.2">
      <c r="A21" s="34"/>
      <c r="B21" s="24" t="str">
        <f t="shared" si="0"/>
        <v>Je</v>
      </c>
      <c r="C21" s="25">
        <f t="shared" si="22"/>
        <v>45610</v>
      </c>
      <c r="D21" s="51"/>
      <c r="E21" s="116"/>
      <c r="F21" s="52"/>
      <c r="G21" s="53"/>
      <c r="H21" s="52"/>
      <c r="I21" s="53"/>
      <c r="J21" s="54"/>
      <c r="K21" s="55"/>
      <c r="L21" s="40">
        <f t="shared" si="1"/>
        <v>0</v>
      </c>
      <c r="M21" s="41">
        <f t="shared" si="23"/>
        <v>0.31666666666666665</v>
      </c>
      <c r="N21" s="42">
        <f>IF(AND(D21&lt;&gt;"Jour libre 4/5",B21&lt;&gt;"Sa",B21&lt;&gt;"Di"),SUM(N20,Configuration!$H$41),SUM(N20))</f>
        <v>3.1666666666666661</v>
      </c>
      <c r="O21" s="49" t="str">
        <f t="shared" si="24"/>
        <v>-</v>
      </c>
      <c r="P21" s="143">
        <f t="shared" si="17"/>
        <v>2.8499999999999996</v>
      </c>
      <c r="Q21" s="167">
        <f t="shared" si="18"/>
        <v>0</v>
      </c>
      <c r="R21" s="168">
        <f t="shared" si="18"/>
        <v>0</v>
      </c>
      <c r="S21" s="168">
        <f t="shared" si="18"/>
        <v>0</v>
      </c>
      <c r="T21" s="169">
        <f t="shared" si="18"/>
        <v>0</v>
      </c>
      <c r="U21" s="97">
        <f t="shared" si="2"/>
        <v>0</v>
      </c>
      <c r="V21" s="97">
        <f t="shared" si="3"/>
        <v>0</v>
      </c>
      <c r="W21" s="97">
        <f t="shared" si="4"/>
        <v>0</v>
      </c>
      <c r="X21" s="97">
        <f t="shared" si="5"/>
        <v>0</v>
      </c>
      <c r="Y21" s="209"/>
      <c r="Z21" s="210"/>
      <c r="AA21" s="210"/>
      <c r="AB21" s="128">
        <f>IF(AND(D21="Jour férié semaine",((G21-F21)+(I21-H21)+(K21-J21)=0)),VLOOKUP(D21,Systeemgegevens!$J:$K,2,FALSE),0)</f>
        <v>0</v>
      </c>
      <c r="AC21" s="43">
        <f>IF(AND(NOT(ISERROR(FIND("Congé",D21))),ISERROR(FIND("1/2",D21)),ISERROR(FIND("Synd",D21)),ISERROR(FIND("synd",D21)),(G21-F21+I21-H21+K21-J21)=0),VLOOKUP(D21,Systeemgegevens!$J:$K,2,FALSE),IF(AND(NOT(ISERROR(FIND("1/2 Congé + ",D21))),(G21-F21+I21-H21+K21-J21)=0),VLOOKUP(D21,Systeemgegevens!$J:$K,2,FALSE)/2,IF(AND(NOT(ISERROR(FIND("1/2 Congé",D21))),ISERROR(FIND(" + ",D21)),ISERROR(FIND("1/2 Congé Synd.",D21))),VLOOKUP(D21,Systeemgegevens!$J:$K,2,FALSE),0)))</f>
        <v>0</v>
      </c>
      <c r="AD21" s="43">
        <f>IF(AND(OR(D21="1/2 Congé Synd.",D21="Congé Synd."),((G21-F21)+(I21-H21)+(K21-J21)=0)),VLOOKUP(D21,Systeemgegevens!$J:$K,2,FALSE),IF(AND(D21="1/2 Congé + 1/2 synd.",((G21-F21)+(I21-H21)+(K21-J21)=0)),AC21,0))</f>
        <v>0</v>
      </c>
      <c r="AE21" s="43">
        <f>IF(AND(D21="Jour de pont",((G21-F21)+(I21-H21)+(K21-J21)=0)),VLOOKUP(D21,Systeemgegevens!$J:$K,2,FALSE),0)</f>
        <v>0</v>
      </c>
      <c r="AF21" s="43">
        <f>IF(AND(D21="Jour libre 4/5",AND((G21-F21)+(I21-H21)+(K21-J21)=0)),VLOOKUP(D21,Systeemgegevens!$J:$K,2,FALSE),0)</f>
        <v>0</v>
      </c>
      <c r="AG21" s="118">
        <f>IF(AND(D21&lt;&gt;"",SUM(AB21:AF21)=0,D21&lt;&gt;$AB$4,D21&lt;&gt;$AC$4,D21&lt;&gt;$AE$4,D21&lt;&gt;$AF$4),VLOOKUP(D21,Systeemgegevens!$J:$K,2,FALSE),0)</f>
        <v>0</v>
      </c>
      <c r="AH21" s="119">
        <f t="shared" si="6"/>
        <v>0</v>
      </c>
      <c r="AI21" s="101">
        <f t="shared" si="7"/>
        <v>0</v>
      </c>
      <c r="AJ21" s="118">
        <f t="shared" si="19"/>
        <v>0</v>
      </c>
      <c r="AK21" s="119">
        <f t="shared" si="8"/>
        <v>0</v>
      </c>
      <c r="AL21" s="101">
        <f t="shared" si="9"/>
        <v>0</v>
      </c>
      <c r="AM21" s="43">
        <f t="shared" si="20"/>
        <v>0</v>
      </c>
      <c r="AN21" s="118">
        <f t="shared" si="21"/>
        <v>0</v>
      </c>
      <c r="AO21" s="122">
        <f t="shared" si="10"/>
        <v>0</v>
      </c>
      <c r="AP21" s="107">
        <f t="shared" si="11"/>
        <v>0</v>
      </c>
      <c r="AQ21" s="107">
        <f t="shared" si="12"/>
        <v>0</v>
      </c>
      <c r="AR21" s="123">
        <f t="shared" si="13"/>
        <v>0</v>
      </c>
      <c r="AS21" s="124">
        <f t="shared" si="14"/>
        <v>0</v>
      </c>
      <c r="AT21" s="124">
        <f t="shared" si="15"/>
        <v>0</v>
      </c>
      <c r="AU21" s="124">
        <f t="shared" si="16"/>
        <v>0</v>
      </c>
      <c r="AV21" s="117" t="s">
        <v>24</v>
      </c>
      <c r="AW21" s="129">
        <f>IF(($R$40=AV21)*AND($R$41&lt;&gt;""),VLOOKUP($R$41,'Barèmes police'!$AO$4:$AP$30,2),0)</f>
        <v>0</v>
      </c>
      <c r="AX21" s="16" t="str">
        <f>IF('Types de jours'!F27&lt;&gt;"",'Types de jours'!F27,"")</f>
        <v/>
      </c>
      <c r="AY21" s="144" t="str">
        <f>IF(AX21&lt;&gt;"",'Types de jours'!I27,"")</f>
        <v/>
      </c>
      <c r="AZ21" s="269"/>
      <c r="BA21" s="154"/>
      <c r="BB21" s="154"/>
      <c r="BC21" s="154"/>
      <c r="BD21" s="154"/>
      <c r="BE21" s="154"/>
      <c r="BF21" s="154"/>
    </row>
    <row r="22" spans="1:58" ht="12.75" customHeight="1" x14ac:dyDescent="0.2">
      <c r="A22" s="34"/>
      <c r="B22" s="24" t="str">
        <f t="shared" si="0"/>
        <v>Ve</v>
      </c>
      <c r="C22" s="25">
        <f t="shared" si="22"/>
        <v>45611</v>
      </c>
      <c r="D22" s="51" t="s">
        <v>259</v>
      </c>
      <c r="E22" s="116"/>
      <c r="F22" s="52"/>
      <c r="G22" s="53"/>
      <c r="H22" s="52"/>
      <c r="I22" s="53"/>
      <c r="J22" s="54"/>
      <c r="K22" s="55"/>
      <c r="L22" s="40">
        <f t="shared" si="1"/>
        <v>0.31666666666666665</v>
      </c>
      <c r="M22" s="41">
        <f t="shared" si="23"/>
        <v>0.6333333333333333</v>
      </c>
      <c r="N22" s="42">
        <f>IF(AND(D22&lt;&gt;"Jour libre 4/5",B22&lt;&gt;"Sa",B22&lt;&gt;"Di"),SUM(N21,Configuration!$H$41),SUM(N21))</f>
        <v>3.4833333333333325</v>
      </c>
      <c r="O22" s="49" t="str">
        <f t="shared" si="24"/>
        <v>-</v>
      </c>
      <c r="P22" s="143">
        <f t="shared" si="17"/>
        <v>2.8499999999999992</v>
      </c>
      <c r="Q22" s="167">
        <f t="shared" si="18"/>
        <v>0</v>
      </c>
      <c r="R22" s="168">
        <f t="shared" si="18"/>
        <v>0</v>
      </c>
      <c r="S22" s="168">
        <f t="shared" si="18"/>
        <v>0</v>
      </c>
      <c r="T22" s="169">
        <f t="shared" si="18"/>
        <v>0</v>
      </c>
      <c r="U22" s="97">
        <f t="shared" si="2"/>
        <v>0</v>
      </c>
      <c r="V22" s="97">
        <f t="shared" si="3"/>
        <v>0</v>
      </c>
      <c r="W22" s="97">
        <f t="shared" si="4"/>
        <v>0</v>
      </c>
      <c r="X22" s="97">
        <f t="shared" si="5"/>
        <v>0</v>
      </c>
      <c r="Y22" s="209"/>
      <c r="Z22" s="210"/>
      <c r="AA22" s="210"/>
      <c r="AB22" s="128">
        <f>IF(AND(D22="Jour férié semaine",((G22-F22)+(I22-H22)+(K22-J22)=0)),VLOOKUP(D22,Systeemgegevens!$J:$K,2,FALSE),0)</f>
        <v>0.31666666666666665</v>
      </c>
      <c r="AC22" s="43">
        <f>IF(AND(NOT(ISERROR(FIND("Congé",D22))),ISERROR(FIND("1/2",D22)),ISERROR(FIND("Synd",D22)),ISERROR(FIND("synd",D22)),(G22-F22+I22-H22+K22-J22)=0),VLOOKUP(D22,Systeemgegevens!$J:$K,2,FALSE),IF(AND(NOT(ISERROR(FIND("1/2 Congé + ",D22))),(G22-F22+I22-H22+K22-J22)=0),VLOOKUP(D22,Systeemgegevens!$J:$K,2,FALSE)/2,IF(AND(NOT(ISERROR(FIND("1/2 Congé",D22))),ISERROR(FIND(" + ",D22)),ISERROR(FIND("1/2 Congé Synd.",D22))),VLOOKUP(D22,Systeemgegevens!$J:$K,2,FALSE),0)))</f>
        <v>0</v>
      </c>
      <c r="AD22" s="43">
        <f>IF(AND(OR(D22="1/2 Congé Synd.",D22="Congé Synd."),((G22-F22)+(I22-H22)+(K22-J22)=0)),VLOOKUP(D22,Systeemgegevens!$J:$K,2,FALSE),IF(AND(D22="1/2 Congé + 1/2 synd.",((G22-F22)+(I22-H22)+(K22-J22)=0)),AC22,0))</f>
        <v>0</v>
      </c>
      <c r="AE22" s="43">
        <f>IF(AND(D22="Jour de pont",((G22-F22)+(I22-H22)+(K22-J22)=0)),VLOOKUP(D22,Systeemgegevens!$J:$K,2,FALSE),0)</f>
        <v>0</v>
      </c>
      <c r="AF22" s="43">
        <f>IF(AND(D22="Jour libre 4/5",AND((G22-F22)+(I22-H22)+(K22-J22)=0)),VLOOKUP(D22,Systeemgegevens!$J:$K,2,FALSE),0)</f>
        <v>0</v>
      </c>
      <c r="AG22" s="118">
        <f>IF(AND(D22&lt;&gt;"",SUM(AB22:AF22)=0,D22&lt;&gt;$AB$4,D22&lt;&gt;$AC$4,D22&lt;&gt;$AE$4,D22&lt;&gt;$AF$4),VLOOKUP(D22,Systeemgegevens!$J:$K,2,FALSE),0)</f>
        <v>0</v>
      </c>
      <c r="AH22" s="119">
        <f t="shared" si="6"/>
        <v>0</v>
      </c>
      <c r="AI22" s="101">
        <f t="shared" si="7"/>
        <v>0</v>
      </c>
      <c r="AJ22" s="118">
        <f t="shared" si="19"/>
        <v>0</v>
      </c>
      <c r="AK22" s="119">
        <f t="shared" si="8"/>
        <v>0</v>
      </c>
      <c r="AL22" s="101">
        <f t="shared" si="9"/>
        <v>0</v>
      </c>
      <c r="AM22" s="43">
        <f t="shared" si="20"/>
        <v>0</v>
      </c>
      <c r="AN22" s="118">
        <f t="shared" si="21"/>
        <v>0</v>
      </c>
      <c r="AO22" s="122">
        <f t="shared" si="10"/>
        <v>0</v>
      </c>
      <c r="AP22" s="107">
        <f t="shared" si="11"/>
        <v>0</v>
      </c>
      <c r="AQ22" s="107">
        <f t="shared" si="12"/>
        <v>0</v>
      </c>
      <c r="AR22" s="123">
        <f t="shared" si="13"/>
        <v>0</v>
      </c>
      <c r="AS22" s="124">
        <f t="shared" si="14"/>
        <v>0</v>
      </c>
      <c r="AT22" s="124">
        <f t="shared" si="15"/>
        <v>0</v>
      </c>
      <c r="AU22" s="124">
        <f t="shared" si="16"/>
        <v>0</v>
      </c>
      <c r="AV22" s="117" t="s">
        <v>23</v>
      </c>
      <c r="AW22" s="129">
        <f>IF(($R$40=AV22)*AND($R$41&lt;&gt;""),VLOOKUP($R$41,'Barèmes police'!$AR$4:$AS$30,2),0)</f>
        <v>0</v>
      </c>
      <c r="AX22" s="16" t="str">
        <f>IF('Types de jours'!F28&lt;&gt;"",'Types de jours'!F28,"")</f>
        <v/>
      </c>
      <c r="AY22" s="144" t="str">
        <f>IF(AX22&lt;&gt;"",'Types de jours'!I28,"")</f>
        <v/>
      </c>
      <c r="AZ22" s="269"/>
      <c r="BA22" s="154"/>
      <c r="BB22" s="154"/>
      <c r="BC22" s="154"/>
      <c r="BD22" s="154"/>
      <c r="BE22" s="154"/>
      <c r="BF22" s="154"/>
    </row>
    <row r="23" spans="1:58" ht="12.75" customHeight="1" x14ac:dyDescent="0.2">
      <c r="A23" s="34"/>
      <c r="B23" s="24" t="str">
        <f t="shared" si="0"/>
        <v>Sa</v>
      </c>
      <c r="C23" s="25">
        <f t="shared" si="22"/>
        <v>45612</v>
      </c>
      <c r="D23" s="51"/>
      <c r="E23" s="116"/>
      <c r="F23" s="52"/>
      <c r="G23" s="53"/>
      <c r="H23" s="52"/>
      <c r="I23" s="53"/>
      <c r="J23" s="54"/>
      <c r="K23" s="55"/>
      <c r="L23" s="40">
        <f t="shared" si="1"/>
        <v>0</v>
      </c>
      <c r="M23" s="41">
        <f t="shared" si="23"/>
        <v>0.6333333333333333</v>
      </c>
      <c r="N23" s="42">
        <f>IF(AND(D23&lt;&gt;"Jour libre 4/5",B23&lt;&gt;"Sa",B23&lt;&gt;"Di"),SUM(N22,Configuration!$H$41),SUM(N22))</f>
        <v>3.4833333333333325</v>
      </c>
      <c r="O23" s="49" t="str">
        <f t="shared" si="24"/>
        <v>-</v>
      </c>
      <c r="P23" s="143">
        <f t="shared" si="17"/>
        <v>2.8499999999999992</v>
      </c>
      <c r="Q23" s="167">
        <f t="shared" si="18"/>
        <v>0</v>
      </c>
      <c r="R23" s="168">
        <f t="shared" si="18"/>
        <v>0</v>
      </c>
      <c r="S23" s="168">
        <f t="shared" si="18"/>
        <v>0</v>
      </c>
      <c r="T23" s="169">
        <f t="shared" si="18"/>
        <v>0</v>
      </c>
      <c r="U23" s="97">
        <f t="shared" si="2"/>
        <v>0</v>
      </c>
      <c r="V23" s="97">
        <f t="shared" si="3"/>
        <v>0</v>
      </c>
      <c r="W23" s="97">
        <f t="shared" si="4"/>
        <v>0</v>
      </c>
      <c r="X23" s="97">
        <f t="shared" si="5"/>
        <v>0</v>
      </c>
      <c r="Y23" s="209"/>
      <c r="Z23" s="210"/>
      <c r="AA23" s="210"/>
      <c r="AB23" s="128">
        <f>IF(AND(D23="Jour férié semaine",((G23-F23)+(I23-H23)+(K23-J23)=0)),VLOOKUP(D23,Systeemgegevens!$J:$K,2,FALSE),0)</f>
        <v>0</v>
      </c>
      <c r="AC23" s="43">
        <f>IF(AND(NOT(ISERROR(FIND("Congé",D23))),ISERROR(FIND("1/2",D23)),ISERROR(FIND("Synd",D23)),ISERROR(FIND("synd",D23)),(G23-F23+I23-H23+K23-J23)=0),VLOOKUP(D23,Systeemgegevens!$J:$K,2,FALSE),IF(AND(NOT(ISERROR(FIND("1/2 Congé + ",D23))),(G23-F23+I23-H23+K23-J23)=0),VLOOKUP(D23,Systeemgegevens!$J:$K,2,FALSE)/2,IF(AND(NOT(ISERROR(FIND("1/2 Congé",D23))),ISERROR(FIND(" + ",D23)),ISERROR(FIND("1/2 Congé Synd.",D23))),VLOOKUP(D23,Systeemgegevens!$J:$K,2,FALSE),0)))</f>
        <v>0</v>
      </c>
      <c r="AD23" s="43">
        <f>IF(AND(OR(D23="1/2 Congé Synd.",D23="Congé Synd."),((G23-F23)+(I23-H23)+(K23-J23)=0)),VLOOKUP(D23,Systeemgegevens!$J:$K,2,FALSE),IF(AND(D23="1/2 Congé + 1/2 synd.",((G23-F23)+(I23-H23)+(K23-J23)=0)),AC23,0))</f>
        <v>0</v>
      </c>
      <c r="AE23" s="43">
        <f>IF(AND(D23="Jour de pont",((G23-F23)+(I23-H23)+(K23-J23)=0)),VLOOKUP(D23,Systeemgegevens!$J:$K,2,FALSE),0)</f>
        <v>0</v>
      </c>
      <c r="AF23" s="43">
        <f>IF(AND(D23="Jour libre 4/5",AND((G23-F23)+(I23-H23)+(K23-J23)=0)),VLOOKUP(D23,Systeemgegevens!$J:$K,2,FALSE),0)</f>
        <v>0</v>
      </c>
      <c r="AG23" s="118">
        <f>IF(AND(D23&lt;&gt;"",SUM(AB23:AF23)=0,D23&lt;&gt;$AB$4,D23&lt;&gt;$AC$4,D23&lt;&gt;$AE$4,D23&lt;&gt;$AF$4),VLOOKUP(D23,Systeemgegevens!$J:$K,2,FALSE),0)</f>
        <v>0</v>
      </c>
      <c r="AH23" s="119">
        <f t="shared" si="6"/>
        <v>0</v>
      </c>
      <c r="AI23" s="101">
        <f t="shared" si="7"/>
        <v>0</v>
      </c>
      <c r="AJ23" s="118">
        <f t="shared" si="19"/>
        <v>0</v>
      </c>
      <c r="AK23" s="119">
        <f t="shared" si="8"/>
        <v>0</v>
      </c>
      <c r="AL23" s="101">
        <f t="shared" si="9"/>
        <v>0</v>
      </c>
      <c r="AM23" s="43">
        <f t="shared" si="20"/>
        <v>0</v>
      </c>
      <c r="AN23" s="118">
        <f t="shared" si="21"/>
        <v>0</v>
      </c>
      <c r="AO23" s="122">
        <f t="shared" si="10"/>
        <v>0</v>
      </c>
      <c r="AP23" s="107">
        <f t="shared" si="11"/>
        <v>0</v>
      </c>
      <c r="AQ23" s="107">
        <f t="shared" si="12"/>
        <v>0</v>
      </c>
      <c r="AR23" s="123">
        <f t="shared" si="13"/>
        <v>0</v>
      </c>
      <c r="AS23" s="124">
        <f t="shared" si="14"/>
        <v>0</v>
      </c>
      <c r="AT23" s="124">
        <f t="shared" si="15"/>
        <v>0</v>
      </c>
      <c r="AU23" s="124">
        <f t="shared" si="16"/>
        <v>0</v>
      </c>
      <c r="AV23" s="117" t="s">
        <v>22</v>
      </c>
      <c r="AW23" s="129">
        <f>IF(($R$40=AV23)*AND($R$41&lt;&gt;""),VLOOKUP($R$41,'Barèmes police'!$AU$4:$AV$34,2),0)</f>
        <v>0</v>
      </c>
      <c r="AX23" s="16" t="str">
        <f>IF('Types de jours'!F29&lt;&gt;"",'Types de jours'!F29,"")</f>
        <v/>
      </c>
      <c r="AY23" s="144" t="str">
        <f>IF(AX23&lt;&gt;"",'Types de jours'!I29,"")</f>
        <v/>
      </c>
      <c r="AZ23" s="269"/>
      <c r="BA23" s="154"/>
      <c r="BB23" s="154"/>
      <c r="BC23" s="154"/>
      <c r="BD23" s="154"/>
      <c r="BE23" s="154"/>
      <c r="BF23" s="154"/>
    </row>
    <row r="24" spans="1:58" ht="12.75" customHeight="1" x14ac:dyDescent="0.2">
      <c r="A24" s="34"/>
      <c r="B24" s="24" t="str">
        <f t="shared" si="0"/>
        <v>Di</v>
      </c>
      <c r="C24" s="25">
        <f t="shared" si="22"/>
        <v>45613</v>
      </c>
      <c r="D24" s="51"/>
      <c r="E24" s="116"/>
      <c r="F24" s="52"/>
      <c r="G24" s="53"/>
      <c r="H24" s="52"/>
      <c r="I24" s="53"/>
      <c r="J24" s="54"/>
      <c r="K24" s="55"/>
      <c r="L24" s="40">
        <f t="shared" si="1"/>
        <v>0</v>
      </c>
      <c r="M24" s="41">
        <f t="shared" si="23"/>
        <v>0.6333333333333333</v>
      </c>
      <c r="N24" s="42">
        <f>IF(AND(D24&lt;&gt;"Jour libre 4/5",B24&lt;&gt;"Sa",B24&lt;&gt;"Di"),SUM(N23,Configuration!$H$41),SUM(N23))</f>
        <v>3.4833333333333325</v>
      </c>
      <c r="O24" s="49" t="str">
        <f t="shared" si="24"/>
        <v>-</v>
      </c>
      <c r="P24" s="143">
        <f t="shared" si="17"/>
        <v>2.8499999999999992</v>
      </c>
      <c r="Q24" s="167">
        <f t="shared" si="18"/>
        <v>0</v>
      </c>
      <c r="R24" s="168">
        <f t="shared" si="18"/>
        <v>0</v>
      </c>
      <c r="S24" s="168">
        <f t="shared" si="18"/>
        <v>0</v>
      </c>
      <c r="T24" s="169">
        <f t="shared" si="18"/>
        <v>0</v>
      </c>
      <c r="U24" s="97">
        <f t="shared" si="2"/>
        <v>0</v>
      </c>
      <c r="V24" s="97">
        <f t="shared" si="3"/>
        <v>0</v>
      </c>
      <c r="W24" s="97">
        <f t="shared" si="4"/>
        <v>0</v>
      </c>
      <c r="X24" s="97">
        <f t="shared" si="5"/>
        <v>0</v>
      </c>
      <c r="Y24" s="209"/>
      <c r="Z24" s="210"/>
      <c r="AA24" s="210"/>
      <c r="AB24" s="128">
        <f>IF(AND(D24="Jour férié semaine",((G24-F24)+(I24-H24)+(K24-J24)=0)),VLOOKUP(D24,Systeemgegevens!$J:$K,2,FALSE),0)</f>
        <v>0</v>
      </c>
      <c r="AC24" s="43">
        <f>IF(AND(NOT(ISERROR(FIND("Congé",D24))),ISERROR(FIND("1/2",D24)),ISERROR(FIND("Synd",D24)),ISERROR(FIND("synd",D24)),(G24-F24+I24-H24+K24-J24)=0),VLOOKUP(D24,Systeemgegevens!$J:$K,2,FALSE),IF(AND(NOT(ISERROR(FIND("1/2 Congé + ",D24))),(G24-F24+I24-H24+K24-J24)=0),VLOOKUP(D24,Systeemgegevens!$J:$K,2,FALSE)/2,IF(AND(NOT(ISERROR(FIND("1/2 Congé",D24))),ISERROR(FIND(" + ",D24)),ISERROR(FIND("1/2 Congé Synd.",D24))),VLOOKUP(D24,Systeemgegevens!$J:$K,2,FALSE),0)))</f>
        <v>0</v>
      </c>
      <c r="AD24" s="43">
        <f>IF(AND(OR(D24="1/2 Congé Synd.",D24="Congé Synd."),((G24-F24)+(I24-H24)+(K24-J24)=0)),VLOOKUP(D24,Systeemgegevens!$J:$K,2,FALSE),IF(AND(D24="1/2 Congé + 1/2 synd.",((G24-F24)+(I24-H24)+(K24-J24)=0)),AC24,0))</f>
        <v>0</v>
      </c>
      <c r="AE24" s="43">
        <f>IF(AND(D24="Jour de pont",((G24-F24)+(I24-H24)+(K24-J24)=0)),VLOOKUP(D24,Systeemgegevens!$J:$K,2,FALSE),0)</f>
        <v>0</v>
      </c>
      <c r="AF24" s="43">
        <f>IF(AND(D24="Jour libre 4/5",AND((G24-F24)+(I24-H24)+(K24-J24)=0)),VLOOKUP(D24,Systeemgegevens!$J:$K,2,FALSE),0)</f>
        <v>0</v>
      </c>
      <c r="AG24" s="118">
        <f>IF(AND(D24&lt;&gt;"",SUM(AB24:AF24)=0,D24&lt;&gt;$AB$4,D24&lt;&gt;$AC$4,D24&lt;&gt;$AE$4,D24&lt;&gt;$AF$4),VLOOKUP(D24,Systeemgegevens!$J:$K,2,FALSE),0)</f>
        <v>0</v>
      </c>
      <c r="AH24" s="119">
        <f t="shared" si="6"/>
        <v>0</v>
      </c>
      <c r="AI24" s="101">
        <f t="shared" si="7"/>
        <v>0</v>
      </c>
      <c r="AJ24" s="118">
        <f t="shared" si="19"/>
        <v>0</v>
      </c>
      <c r="AK24" s="119">
        <f t="shared" si="8"/>
        <v>0</v>
      </c>
      <c r="AL24" s="101">
        <f t="shared" si="9"/>
        <v>0</v>
      </c>
      <c r="AM24" s="43">
        <f t="shared" si="20"/>
        <v>0</v>
      </c>
      <c r="AN24" s="118">
        <f t="shared" si="21"/>
        <v>0</v>
      </c>
      <c r="AO24" s="122">
        <f t="shared" si="10"/>
        <v>0</v>
      </c>
      <c r="AP24" s="107">
        <f t="shared" si="11"/>
        <v>0</v>
      </c>
      <c r="AQ24" s="107">
        <f t="shared" si="12"/>
        <v>0</v>
      </c>
      <c r="AR24" s="123">
        <f t="shared" si="13"/>
        <v>0</v>
      </c>
      <c r="AS24" s="124">
        <f t="shared" si="14"/>
        <v>0</v>
      </c>
      <c r="AT24" s="124">
        <f t="shared" si="15"/>
        <v>0</v>
      </c>
      <c r="AU24" s="124">
        <f t="shared" si="16"/>
        <v>0</v>
      </c>
      <c r="AV24" s="117" t="s">
        <v>21</v>
      </c>
      <c r="AW24" s="129">
        <f>IF(($R$40=AV24)*AND($R$41&lt;&gt;""),VLOOKUP($R$41,'Barèmes police'!$AX$4:$AY$30,2),0)</f>
        <v>0</v>
      </c>
      <c r="AX24" s="16" t="str">
        <f>IF('Types de jours'!F30&lt;&gt;"",'Types de jours'!F30,"")</f>
        <v/>
      </c>
      <c r="AY24" s="144" t="str">
        <f>IF(AX24&lt;&gt;"",'Types de jours'!I30,"")</f>
        <v/>
      </c>
      <c r="AZ24" s="269"/>
      <c r="BA24" s="154"/>
      <c r="BB24" s="154"/>
      <c r="BC24" s="154"/>
      <c r="BD24" s="154"/>
      <c r="BE24" s="154"/>
      <c r="BF24" s="154"/>
    </row>
    <row r="25" spans="1:58" ht="12.75" customHeight="1" x14ac:dyDescent="0.2">
      <c r="A25" s="34"/>
      <c r="B25" s="24" t="str">
        <f t="shared" si="0"/>
        <v>Lu</v>
      </c>
      <c r="C25" s="25">
        <f t="shared" si="22"/>
        <v>45614</v>
      </c>
      <c r="D25" s="51"/>
      <c r="E25" s="116"/>
      <c r="F25" s="52"/>
      <c r="G25" s="53"/>
      <c r="H25" s="52"/>
      <c r="I25" s="53"/>
      <c r="J25" s="54"/>
      <c r="K25" s="55"/>
      <c r="L25" s="40">
        <f t="shared" si="1"/>
        <v>0</v>
      </c>
      <c r="M25" s="41">
        <f t="shared" si="23"/>
        <v>0.6333333333333333</v>
      </c>
      <c r="N25" s="42">
        <f>IF(AND(D25&lt;&gt;"Jour libre 4/5",B25&lt;&gt;"Sa",B25&lt;&gt;"Di"),SUM(N24,Configuration!$H$41),SUM(N24))</f>
        <v>3.7999999999999989</v>
      </c>
      <c r="O25" s="49" t="str">
        <f t="shared" si="24"/>
        <v>-</v>
      </c>
      <c r="P25" s="143">
        <f t="shared" si="17"/>
        <v>3.1666666666666656</v>
      </c>
      <c r="Q25" s="167">
        <f t="shared" si="18"/>
        <v>0</v>
      </c>
      <c r="R25" s="168">
        <f t="shared" si="18"/>
        <v>0</v>
      </c>
      <c r="S25" s="168">
        <f t="shared" si="18"/>
        <v>0</v>
      </c>
      <c r="T25" s="169">
        <f t="shared" si="18"/>
        <v>0</v>
      </c>
      <c r="U25" s="97">
        <f t="shared" si="2"/>
        <v>0</v>
      </c>
      <c r="V25" s="97">
        <f t="shared" si="3"/>
        <v>0</v>
      </c>
      <c r="W25" s="97">
        <f t="shared" si="4"/>
        <v>0</v>
      </c>
      <c r="X25" s="97">
        <f t="shared" si="5"/>
        <v>0</v>
      </c>
      <c r="Y25" s="209"/>
      <c r="Z25" s="210"/>
      <c r="AA25" s="210"/>
      <c r="AB25" s="128">
        <f>IF(AND(D25="Jour férié semaine",((G25-F25)+(I25-H25)+(K25-J25)=0)),VLOOKUP(D25,Systeemgegevens!$J:$K,2,FALSE),0)</f>
        <v>0</v>
      </c>
      <c r="AC25" s="43">
        <f>IF(AND(NOT(ISERROR(FIND("Congé",D25))),ISERROR(FIND("1/2",D25)),ISERROR(FIND("Synd",D25)),ISERROR(FIND("synd",D25)),(G25-F25+I25-H25+K25-J25)=0),VLOOKUP(D25,Systeemgegevens!$J:$K,2,FALSE),IF(AND(NOT(ISERROR(FIND("1/2 Congé + ",D25))),(G25-F25+I25-H25+K25-J25)=0),VLOOKUP(D25,Systeemgegevens!$J:$K,2,FALSE)/2,IF(AND(NOT(ISERROR(FIND("1/2 Congé",D25))),ISERROR(FIND(" + ",D25)),ISERROR(FIND("1/2 Congé Synd.",D25))),VLOOKUP(D25,Systeemgegevens!$J:$K,2,FALSE),0)))</f>
        <v>0</v>
      </c>
      <c r="AD25" s="43">
        <f>IF(AND(OR(D25="1/2 Congé Synd.",D25="Congé Synd."),((G25-F25)+(I25-H25)+(K25-J25)=0)),VLOOKUP(D25,Systeemgegevens!$J:$K,2,FALSE),IF(AND(D25="1/2 Congé + 1/2 synd.",((G25-F25)+(I25-H25)+(K25-J25)=0)),AC25,0))</f>
        <v>0</v>
      </c>
      <c r="AE25" s="43">
        <f>IF(AND(D25="Jour de pont",((G25-F25)+(I25-H25)+(K25-J25)=0)),VLOOKUP(D25,Systeemgegevens!$J:$K,2,FALSE),0)</f>
        <v>0</v>
      </c>
      <c r="AF25" s="43">
        <f>IF(AND(D25="Jour libre 4/5",AND((G25-F25)+(I25-H25)+(K25-J25)=0)),VLOOKUP(D25,Systeemgegevens!$J:$K,2,FALSE),0)</f>
        <v>0</v>
      </c>
      <c r="AG25" s="118">
        <f>IF(AND(D25&lt;&gt;"",SUM(AB25:AF25)=0,D25&lt;&gt;$AB$4,D25&lt;&gt;$AC$4,D25&lt;&gt;$AE$4,D25&lt;&gt;$AF$4),VLOOKUP(D25,Systeemgegevens!$J:$K,2,FALSE),0)</f>
        <v>0</v>
      </c>
      <c r="AH25" s="119">
        <f t="shared" si="6"/>
        <v>0</v>
      </c>
      <c r="AI25" s="101">
        <f t="shared" si="7"/>
        <v>0</v>
      </c>
      <c r="AJ25" s="118">
        <f t="shared" si="19"/>
        <v>0</v>
      </c>
      <c r="AK25" s="119">
        <f t="shared" si="8"/>
        <v>0</v>
      </c>
      <c r="AL25" s="101">
        <f t="shared" si="9"/>
        <v>0</v>
      </c>
      <c r="AM25" s="43">
        <f t="shared" si="20"/>
        <v>0</v>
      </c>
      <c r="AN25" s="118">
        <f t="shared" si="21"/>
        <v>0</v>
      </c>
      <c r="AO25" s="122">
        <f t="shared" si="10"/>
        <v>0</v>
      </c>
      <c r="AP25" s="107">
        <f t="shared" si="11"/>
        <v>0</v>
      </c>
      <c r="AQ25" s="107">
        <f t="shared" si="12"/>
        <v>0</v>
      </c>
      <c r="AR25" s="123">
        <f t="shared" si="13"/>
        <v>0</v>
      </c>
      <c r="AS25" s="124">
        <f t="shared" si="14"/>
        <v>0</v>
      </c>
      <c r="AT25" s="124">
        <f t="shared" si="15"/>
        <v>0</v>
      </c>
      <c r="AU25" s="124">
        <f t="shared" si="16"/>
        <v>0</v>
      </c>
      <c r="AV25" s="117" t="s">
        <v>20</v>
      </c>
      <c r="AW25" s="129">
        <f>IF(($R$40=AV25)*AND($R$41&lt;&gt;""),VLOOKUP($R$41,'Barèmes police'!$BA$4:$BB$34,2),0)</f>
        <v>0</v>
      </c>
      <c r="AX25" s="16" t="str">
        <f>IF('Types de jours'!F31&lt;&gt;"",'Types de jours'!F31,"")</f>
        <v/>
      </c>
      <c r="AY25" s="144" t="str">
        <f>IF(AX25&lt;&gt;"",'Types de jours'!I31,"")</f>
        <v/>
      </c>
      <c r="AZ25" s="269"/>
      <c r="BA25" s="154"/>
      <c r="BB25" s="154"/>
      <c r="BC25" s="154"/>
      <c r="BD25" s="154"/>
      <c r="BE25" s="154"/>
      <c r="BF25" s="154"/>
    </row>
    <row r="26" spans="1:58" ht="12.75" customHeight="1" x14ac:dyDescent="0.2">
      <c r="A26" s="34"/>
      <c r="B26" s="24" t="str">
        <f t="shared" si="0"/>
        <v>Ma</v>
      </c>
      <c r="C26" s="25">
        <f t="shared" si="22"/>
        <v>45615</v>
      </c>
      <c r="D26" s="51"/>
      <c r="E26" s="116"/>
      <c r="F26" s="52"/>
      <c r="G26" s="53"/>
      <c r="H26" s="54"/>
      <c r="I26" s="55"/>
      <c r="J26" s="54"/>
      <c r="K26" s="55"/>
      <c r="L26" s="40">
        <f t="shared" si="1"/>
        <v>0</v>
      </c>
      <c r="M26" s="41">
        <f t="shared" si="23"/>
        <v>0.6333333333333333</v>
      </c>
      <c r="N26" s="42">
        <f>IF(AND(D26&lt;&gt;"Jour libre 4/5",B26&lt;&gt;"Sa",B26&lt;&gt;"Di"),SUM(N25,Configuration!$H$41),SUM(N25))</f>
        <v>4.1166666666666654</v>
      </c>
      <c r="O26" s="49" t="str">
        <f t="shared" si="24"/>
        <v>-</v>
      </c>
      <c r="P26" s="143">
        <f t="shared" si="17"/>
        <v>3.4833333333333321</v>
      </c>
      <c r="Q26" s="167">
        <f t="shared" si="18"/>
        <v>0</v>
      </c>
      <c r="R26" s="168">
        <f t="shared" si="18"/>
        <v>0</v>
      </c>
      <c r="S26" s="168">
        <f t="shared" si="18"/>
        <v>0</v>
      </c>
      <c r="T26" s="169">
        <f t="shared" si="18"/>
        <v>0</v>
      </c>
      <c r="U26" s="97">
        <f t="shared" si="2"/>
        <v>0</v>
      </c>
      <c r="V26" s="97">
        <f t="shared" si="3"/>
        <v>0</v>
      </c>
      <c r="W26" s="97">
        <f t="shared" si="4"/>
        <v>0</v>
      </c>
      <c r="X26" s="97">
        <f t="shared" si="5"/>
        <v>0</v>
      </c>
      <c r="Y26" s="209"/>
      <c r="Z26" s="210"/>
      <c r="AA26" s="210"/>
      <c r="AB26" s="128">
        <f>IF(AND(D26="Jour férié semaine",((G26-F26)+(I26-H26)+(K26-J26)=0)),VLOOKUP(D26,Systeemgegevens!$J:$K,2,FALSE),0)</f>
        <v>0</v>
      </c>
      <c r="AC26" s="43">
        <f>IF(AND(NOT(ISERROR(FIND("Congé",D26))),ISERROR(FIND("1/2",D26)),ISERROR(FIND("Synd",D26)),ISERROR(FIND("synd",D26)),(G26-F26+I26-H26+K26-J26)=0),VLOOKUP(D26,Systeemgegevens!$J:$K,2,FALSE),IF(AND(NOT(ISERROR(FIND("1/2 Congé + ",D26))),(G26-F26+I26-H26+K26-J26)=0),VLOOKUP(D26,Systeemgegevens!$J:$K,2,FALSE)/2,IF(AND(NOT(ISERROR(FIND("1/2 Congé",D26))),ISERROR(FIND(" + ",D26)),ISERROR(FIND("1/2 Congé Synd.",D26))),VLOOKUP(D26,Systeemgegevens!$J:$K,2,FALSE),0)))</f>
        <v>0</v>
      </c>
      <c r="AD26" s="43">
        <f>IF(AND(OR(D26="1/2 Congé Synd.",D26="Congé Synd."),((G26-F26)+(I26-H26)+(K26-J26)=0)),VLOOKUP(D26,Systeemgegevens!$J:$K,2,FALSE),IF(AND(D26="1/2 Congé + 1/2 synd.",((G26-F26)+(I26-H26)+(K26-J26)=0)),AC26,0))</f>
        <v>0</v>
      </c>
      <c r="AE26" s="43">
        <f>IF(AND(D26="Jour de pont",((G26-F26)+(I26-H26)+(K26-J26)=0)),VLOOKUP(D26,Systeemgegevens!$J:$K,2,FALSE),0)</f>
        <v>0</v>
      </c>
      <c r="AF26" s="43">
        <f>IF(AND(D26="Jour libre 4/5",AND((G26-F26)+(I26-H26)+(K26-J26)=0)),VLOOKUP(D26,Systeemgegevens!$J:$K,2,FALSE),0)</f>
        <v>0</v>
      </c>
      <c r="AG26" s="118">
        <f>IF(AND(D26&lt;&gt;"",SUM(AB26:AF26)=0,D26&lt;&gt;$AB$4,D26&lt;&gt;$AC$4,D26&lt;&gt;$AE$4,D26&lt;&gt;$AF$4),VLOOKUP(D26,Systeemgegevens!$J:$K,2,FALSE),0)</f>
        <v>0</v>
      </c>
      <c r="AH26" s="119">
        <f t="shared" si="6"/>
        <v>0</v>
      </c>
      <c r="AI26" s="101">
        <f t="shared" si="7"/>
        <v>0</v>
      </c>
      <c r="AJ26" s="118">
        <f t="shared" si="19"/>
        <v>0</v>
      </c>
      <c r="AK26" s="119">
        <f t="shared" si="8"/>
        <v>0</v>
      </c>
      <c r="AL26" s="101">
        <f t="shared" si="9"/>
        <v>0</v>
      </c>
      <c r="AM26" s="43">
        <f t="shared" si="20"/>
        <v>0</v>
      </c>
      <c r="AN26" s="118">
        <f t="shared" si="21"/>
        <v>0</v>
      </c>
      <c r="AO26" s="122">
        <f t="shared" si="10"/>
        <v>0</v>
      </c>
      <c r="AP26" s="107">
        <f t="shared" si="11"/>
        <v>0</v>
      </c>
      <c r="AQ26" s="107">
        <f t="shared" si="12"/>
        <v>0</v>
      </c>
      <c r="AR26" s="123">
        <f t="shared" si="13"/>
        <v>0</v>
      </c>
      <c r="AS26" s="124">
        <f t="shared" si="14"/>
        <v>0</v>
      </c>
      <c r="AT26" s="124">
        <f t="shared" si="15"/>
        <v>0</v>
      </c>
      <c r="AU26" s="124">
        <f t="shared" si="16"/>
        <v>0</v>
      </c>
      <c r="AV26" s="117" t="s">
        <v>19</v>
      </c>
      <c r="AW26" s="129">
        <f>IF(($R$40=AV26)*AND($R$41&lt;&gt;""),VLOOKUP($R$41,'Barèmes police'!$BD$4:$BE$30,2),0)</f>
        <v>0</v>
      </c>
      <c r="AX26" s="16" t="str">
        <f>IF('Types de jours'!F32&lt;&gt;"",'Types de jours'!F32,"")</f>
        <v/>
      </c>
      <c r="AY26" s="144" t="str">
        <f>IF(AX26&lt;&gt;"",'Types de jours'!I32,"")</f>
        <v/>
      </c>
      <c r="AZ26" s="269"/>
      <c r="BA26" s="154"/>
      <c r="BB26" s="154"/>
      <c r="BC26" s="154"/>
      <c r="BD26" s="154"/>
      <c r="BE26" s="154"/>
      <c r="BF26" s="154"/>
    </row>
    <row r="27" spans="1:58" ht="12.75" customHeight="1" x14ac:dyDescent="0.2">
      <c r="A27" s="34"/>
      <c r="B27" s="24" t="str">
        <f t="shared" si="0"/>
        <v>Me</v>
      </c>
      <c r="C27" s="25">
        <f t="shared" si="22"/>
        <v>45616</v>
      </c>
      <c r="D27" s="51"/>
      <c r="E27" s="116"/>
      <c r="F27" s="52"/>
      <c r="G27" s="53"/>
      <c r="H27" s="54"/>
      <c r="I27" s="55"/>
      <c r="J27" s="54"/>
      <c r="K27" s="55"/>
      <c r="L27" s="40">
        <f t="shared" si="1"/>
        <v>0</v>
      </c>
      <c r="M27" s="41">
        <f t="shared" si="23"/>
        <v>0.6333333333333333</v>
      </c>
      <c r="N27" s="42">
        <f>IF(AND(D27&lt;&gt;"Jour libre 4/5",B27&lt;&gt;"Sa",B27&lt;&gt;"Di"),SUM(N26,Configuration!$H$41),SUM(N26))</f>
        <v>4.4333333333333318</v>
      </c>
      <c r="O27" s="49" t="str">
        <f t="shared" si="24"/>
        <v>-</v>
      </c>
      <c r="P27" s="143">
        <f t="shared" si="17"/>
        <v>3.7999999999999985</v>
      </c>
      <c r="Q27" s="167">
        <f t="shared" si="18"/>
        <v>0</v>
      </c>
      <c r="R27" s="168">
        <f t="shared" si="18"/>
        <v>0</v>
      </c>
      <c r="S27" s="168">
        <f t="shared" si="18"/>
        <v>0</v>
      </c>
      <c r="T27" s="169">
        <f t="shared" si="18"/>
        <v>0</v>
      </c>
      <c r="U27" s="97">
        <f t="shared" si="2"/>
        <v>0</v>
      </c>
      <c r="V27" s="97">
        <f t="shared" si="3"/>
        <v>0</v>
      </c>
      <c r="W27" s="97">
        <f t="shared" si="4"/>
        <v>0</v>
      </c>
      <c r="X27" s="97">
        <f t="shared" si="5"/>
        <v>0</v>
      </c>
      <c r="Y27" s="209"/>
      <c r="Z27" s="210"/>
      <c r="AA27" s="210"/>
      <c r="AB27" s="128">
        <f>IF(AND(D27="Jour férié semaine",((G27-F27)+(I27-H27)+(K27-J27)=0)),VLOOKUP(D27,Systeemgegevens!$J:$K,2,FALSE),0)</f>
        <v>0</v>
      </c>
      <c r="AC27" s="43">
        <f>IF(AND(NOT(ISERROR(FIND("Congé",D27))),ISERROR(FIND("1/2",D27)),ISERROR(FIND("Synd",D27)),ISERROR(FIND("synd",D27)),(G27-F27+I27-H27+K27-J27)=0),VLOOKUP(D27,Systeemgegevens!$J:$K,2,FALSE),IF(AND(NOT(ISERROR(FIND("1/2 Congé + ",D27))),(G27-F27+I27-H27+K27-J27)=0),VLOOKUP(D27,Systeemgegevens!$J:$K,2,FALSE)/2,IF(AND(NOT(ISERROR(FIND("1/2 Congé",D27))),ISERROR(FIND(" + ",D27)),ISERROR(FIND("1/2 Congé Synd.",D27))),VLOOKUP(D27,Systeemgegevens!$J:$K,2,FALSE),0)))</f>
        <v>0</v>
      </c>
      <c r="AD27" s="43">
        <f>IF(AND(OR(D27="1/2 Congé Synd.",D27="Congé Synd."),((G27-F27)+(I27-H27)+(K27-J27)=0)),VLOOKUP(D27,Systeemgegevens!$J:$K,2,FALSE),IF(AND(D27="1/2 Congé + 1/2 synd.",((G27-F27)+(I27-H27)+(K27-J27)=0)),AC27,0))</f>
        <v>0</v>
      </c>
      <c r="AE27" s="43">
        <f>IF(AND(D27="Jour de pont",((G27-F27)+(I27-H27)+(K27-J27)=0)),VLOOKUP(D27,Systeemgegevens!$J:$K,2,FALSE),0)</f>
        <v>0</v>
      </c>
      <c r="AF27" s="43">
        <f>IF(AND(D27="Jour libre 4/5",AND((G27-F27)+(I27-H27)+(K27-J27)=0)),VLOOKUP(D27,Systeemgegevens!$J:$K,2,FALSE),0)</f>
        <v>0</v>
      </c>
      <c r="AG27" s="118">
        <f>IF(AND(D27&lt;&gt;"",SUM(AB27:AF27)=0,D27&lt;&gt;$AB$4,D27&lt;&gt;$AC$4,D27&lt;&gt;$AE$4,D27&lt;&gt;$AF$4),VLOOKUP(D27,Systeemgegevens!$J:$K,2,FALSE),0)</f>
        <v>0</v>
      </c>
      <c r="AH27" s="119">
        <f t="shared" si="6"/>
        <v>0</v>
      </c>
      <c r="AI27" s="101">
        <f t="shared" si="7"/>
        <v>0</v>
      </c>
      <c r="AJ27" s="118">
        <f t="shared" si="19"/>
        <v>0</v>
      </c>
      <c r="AK27" s="119">
        <f t="shared" si="8"/>
        <v>0</v>
      </c>
      <c r="AL27" s="101">
        <f t="shared" si="9"/>
        <v>0</v>
      </c>
      <c r="AM27" s="43">
        <f t="shared" si="20"/>
        <v>0</v>
      </c>
      <c r="AN27" s="118">
        <f t="shared" si="21"/>
        <v>0</v>
      </c>
      <c r="AO27" s="122">
        <f t="shared" si="10"/>
        <v>0</v>
      </c>
      <c r="AP27" s="107">
        <f t="shared" si="11"/>
        <v>0</v>
      </c>
      <c r="AQ27" s="107">
        <f t="shared" si="12"/>
        <v>0</v>
      </c>
      <c r="AR27" s="123">
        <f t="shared" si="13"/>
        <v>0</v>
      </c>
      <c r="AS27" s="124">
        <f t="shared" si="14"/>
        <v>0</v>
      </c>
      <c r="AT27" s="124">
        <f t="shared" si="15"/>
        <v>0</v>
      </c>
      <c r="AU27" s="124">
        <f t="shared" si="16"/>
        <v>0</v>
      </c>
      <c r="AV27" s="117" t="s">
        <v>18</v>
      </c>
      <c r="AW27" s="129">
        <f>IF(($R$40=AV27)*AND($R$41&lt;&gt;""),VLOOKUP($R$41,'Barèmes police'!$BG$4:$BH$30,2),0)</f>
        <v>0</v>
      </c>
      <c r="AX27" s="16" t="str">
        <f>IF('Types de jours'!F33&lt;&gt;"",'Types de jours'!F33,"")</f>
        <v/>
      </c>
      <c r="AY27" s="144" t="str">
        <f>IF(AX27&lt;&gt;"",'Types de jours'!I33,"")</f>
        <v/>
      </c>
      <c r="AZ27" s="269"/>
      <c r="BA27" s="154"/>
      <c r="BB27" s="154"/>
      <c r="BC27" s="154"/>
      <c r="BD27" s="154"/>
      <c r="BE27" s="154"/>
      <c r="BF27" s="154"/>
    </row>
    <row r="28" spans="1:58" ht="12.75" customHeight="1" x14ac:dyDescent="0.2">
      <c r="A28" s="34"/>
      <c r="B28" s="24" t="str">
        <f t="shared" si="0"/>
        <v>Je</v>
      </c>
      <c r="C28" s="25">
        <f t="shared" si="22"/>
        <v>45617</v>
      </c>
      <c r="D28" s="51"/>
      <c r="E28" s="116"/>
      <c r="F28" s="52"/>
      <c r="G28" s="53"/>
      <c r="H28" s="54"/>
      <c r="I28" s="55"/>
      <c r="J28" s="54"/>
      <c r="K28" s="55"/>
      <c r="L28" s="40">
        <f t="shared" si="1"/>
        <v>0</v>
      </c>
      <c r="M28" s="41">
        <f t="shared" si="23"/>
        <v>0.6333333333333333</v>
      </c>
      <c r="N28" s="42">
        <f>IF(AND(D28&lt;&gt;"Jour libre 4/5",B28&lt;&gt;"Sa",B28&lt;&gt;"Di"),SUM(N27,Configuration!$H$41),SUM(N27))</f>
        <v>4.7499999999999982</v>
      </c>
      <c r="O28" s="49" t="str">
        <f t="shared" si="24"/>
        <v>-</v>
      </c>
      <c r="P28" s="143">
        <f t="shared" si="17"/>
        <v>4.1166666666666654</v>
      </c>
      <c r="Q28" s="167">
        <f t="shared" si="18"/>
        <v>0</v>
      </c>
      <c r="R28" s="168">
        <f t="shared" si="18"/>
        <v>0</v>
      </c>
      <c r="S28" s="168">
        <f t="shared" si="18"/>
        <v>0</v>
      </c>
      <c r="T28" s="169">
        <f t="shared" si="18"/>
        <v>0</v>
      </c>
      <c r="U28" s="97">
        <f t="shared" si="2"/>
        <v>0</v>
      </c>
      <c r="V28" s="97">
        <f t="shared" si="3"/>
        <v>0</v>
      </c>
      <c r="W28" s="97">
        <f t="shared" si="4"/>
        <v>0</v>
      </c>
      <c r="X28" s="97">
        <f t="shared" si="5"/>
        <v>0</v>
      </c>
      <c r="Y28" s="209"/>
      <c r="Z28" s="210"/>
      <c r="AA28" s="210"/>
      <c r="AB28" s="128">
        <f>IF(AND(D28="Jour férié semaine",((G28-F28)+(I28-H28)+(K28-J28)=0)),VLOOKUP(D28,Systeemgegevens!$J:$K,2,FALSE),0)</f>
        <v>0</v>
      </c>
      <c r="AC28" s="43">
        <f>IF(AND(NOT(ISERROR(FIND("Congé",D28))),ISERROR(FIND("1/2",D28)),ISERROR(FIND("Synd",D28)),ISERROR(FIND("synd",D28)),(G28-F28+I28-H28+K28-J28)=0),VLOOKUP(D28,Systeemgegevens!$J:$K,2,FALSE),IF(AND(NOT(ISERROR(FIND("1/2 Congé + ",D28))),(G28-F28+I28-H28+K28-J28)=0),VLOOKUP(D28,Systeemgegevens!$J:$K,2,FALSE)/2,IF(AND(NOT(ISERROR(FIND("1/2 Congé",D28))),ISERROR(FIND(" + ",D28)),ISERROR(FIND("1/2 Congé Synd.",D28))),VLOOKUP(D28,Systeemgegevens!$J:$K,2,FALSE),0)))</f>
        <v>0</v>
      </c>
      <c r="AD28" s="43">
        <f>IF(AND(OR(D28="1/2 Congé Synd.",D28="Congé Synd."),((G28-F28)+(I28-H28)+(K28-J28)=0)),VLOOKUP(D28,Systeemgegevens!$J:$K,2,FALSE),IF(AND(D28="1/2 Congé + 1/2 synd.",((G28-F28)+(I28-H28)+(K28-J28)=0)),AC28,0))</f>
        <v>0</v>
      </c>
      <c r="AE28" s="43">
        <f>IF(AND(D28="Jour de pont",((G28-F28)+(I28-H28)+(K28-J28)=0)),VLOOKUP(D28,Systeemgegevens!$J:$K,2,FALSE),0)</f>
        <v>0</v>
      </c>
      <c r="AF28" s="43">
        <f>IF(AND(D28="Jour libre 4/5",AND((G28-F28)+(I28-H28)+(K28-J28)=0)),VLOOKUP(D28,Systeemgegevens!$J:$K,2,FALSE),0)</f>
        <v>0</v>
      </c>
      <c r="AG28" s="118">
        <f>IF(AND(D28&lt;&gt;"",SUM(AB28:AF28)=0,D28&lt;&gt;$AB$4,D28&lt;&gt;$AC$4,D28&lt;&gt;$AE$4,D28&lt;&gt;$AF$4),VLOOKUP(D28,Systeemgegevens!$J:$K,2,FALSE),0)</f>
        <v>0</v>
      </c>
      <c r="AH28" s="119">
        <f t="shared" si="6"/>
        <v>0</v>
      </c>
      <c r="AI28" s="101">
        <f t="shared" si="7"/>
        <v>0</v>
      </c>
      <c r="AJ28" s="118">
        <f t="shared" si="19"/>
        <v>0</v>
      </c>
      <c r="AK28" s="119">
        <f t="shared" si="8"/>
        <v>0</v>
      </c>
      <c r="AL28" s="101">
        <f t="shared" si="9"/>
        <v>0</v>
      </c>
      <c r="AM28" s="43">
        <f t="shared" si="20"/>
        <v>0</v>
      </c>
      <c r="AN28" s="118">
        <f t="shared" si="21"/>
        <v>0</v>
      </c>
      <c r="AO28" s="122">
        <f t="shared" si="10"/>
        <v>0</v>
      </c>
      <c r="AP28" s="107">
        <f t="shared" si="11"/>
        <v>0</v>
      </c>
      <c r="AQ28" s="107">
        <f t="shared" si="12"/>
        <v>0</v>
      </c>
      <c r="AR28" s="123">
        <f t="shared" si="13"/>
        <v>0</v>
      </c>
      <c r="AS28" s="124">
        <f t="shared" si="14"/>
        <v>0</v>
      </c>
      <c r="AT28" s="124">
        <f t="shared" si="15"/>
        <v>0</v>
      </c>
      <c r="AU28" s="124">
        <f t="shared" si="16"/>
        <v>0</v>
      </c>
      <c r="AV28" s="117" t="s">
        <v>17</v>
      </c>
      <c r="AW28" s="129">
        <f>IF(($R$40=AV28)*AND($R$41&lt;&gt;""),VLOOKUP($R$41,'Barèmes police'!$BJ$4:$BK$30,2),0)</f>
        <v>0</v>
      </c>
      <c r="AX28" s="16" t="str">
        <f>IF('Types de jours'!F34&lt;&gt;"",'Types de jours'!F34,"")</f>
        <v/>
      </c>
      <c r="AY28" s="144" t="str">
        <f>IF(AX28&lt;&gt;"",'Types de jours'!I34,"")</f>
        <v/>
      </c>
      <c r="AZ28" s="269"/>
      <c r="BA28" s="154"/>
      <c r="BB28" s="154"/>
      <c r="BC28" s="154"/>
      <c r="BD28" s="154"/>
      <c r="BE28" s="154"/>
      <c r="BF28" s="154"/>
    </row>
    <row r="29" spans="1:58" ht="12.75" customHeight="1" x14ac:dyDescent="0.2">
      <c r="A29" s="34"/>
      <c r="B29" s="24" t="str">
        <f t="shared" si="0"/>
        <v>Ve</v>
      </c>
      <c r="C29" s="25">
        <f t="shared" si="22"/>
        <v>45618</v>
      </c>
      <c r="D29" s="51"/>
      <c r="E29" s="116"/>
      <c r="F29" s="52"/>
      <c r="G29" s="53"/>
      <c r="H29" s="54"/>
      <c r="I29" s="55"/>
      <c r="J29" s="54"/>
      <c r="K29" s="55"/>
      <c r="L29" s="40">
        <f t="shared" si="1"/>
        <v>0</v>
      </c>
      <c r="M29" s="41">
        <f t="shared" si="23"/>
        <v>0.6333333333333333</v>
      </c>
      <c r="N29" s="42">
        <f>IF(AND(D29&lt;&gt;"Jour libre 4/5",B29&lt;&gt;"Sa",B29&lt;&gt;"Di"),SUM(N28,Configuration!$H$41),SUM(N28))</f>
        <v>5.0666666666666647</v>
      </c>
      <c r="O29" s="49" t="str">
        <f t="shared" si="24"/>
        <v>-</v>
      </c>
      <c r="P29" s="143">
        <f t="shared" si="17"/>
        <v>4.4333333333333318</v>
      </c>
      <c r="Q29" s="167">
        <f t="shared" si="18"/>
        <v>0</v>
      </c>
      <c r="R29" s="168">
        <f t="shared" si="18"/>
        <v>0</v>
      </c>
      <c r="S29" s="168">
        <f t="shared" si="18"/>
        <v>0</v>
      </c>
      <c r="T29" s="169">
        <f t="shared" si="18"/>
        <v>0</v>
      </c>
      <c r="U29" s="97">
        <f t="shared" si="2"/>
        <v>0</v>
      </c>
      <c r="V29" s="97">
        <f t="shared" si="3"/>
        <v>0</v>
      </c>
      <c r="W29" s="97">
        <f t="shared" si="4"/>
        <v>0</v>
      </c>
      <c r="X29" s="97">
        <f t="shared" si="5"/>
        <v>0</v>
      </c>
      <c r="Y29" s="209"/>
      <c r="Z29" s="210"/>
      <c r="AA29" s="210"/>
      <c r="AB29" s="128">
        <f>IF(AND(D29="Jour férié semaine",((G29-F29)+(I29-H29)+(K29-J29)=0)),VLOOKUP(D29,Systeemgegevens!$J:$K,2,FALSE),0)</f>
        <v>0</v>
      </c>
      <c r="AC29" s="43">
        <f>IF(AND(NOT(ISERROR(FIND("Congé",D29))),ISERROR(FIND("1/2",D29)),ISERROR(FIND("Synd",D29)),ISERROR(FIND("synd",D29)),(G29-F29+I29-H29+K29-J29)=0),VLOOKUP(D29,Systeemgegevens!$J:$K,2,FALSE),IF(AND(NOT(ISERROR(FIND("1/2 Congé + ",D29))),(G29-F29+I29-H29+K29-J29)=0),VLOOKUP(D29,Systeemgegevens!$J:$K,2,FALSE)/2,IF(AND(NOT(ISERROR(FIND("1/2 Congé",D29))),ISERROR(FIND(" + ",D29)),ISERROR(FIND("1/2 Congé Synd.",D29))),VLOOKUP(D29,Systeemgegevens!$J:$K,2,FALSE),0)))</f>
        <v>0</v>
      </c>
      <c r="AD29" s="43">
        <f>IF(AND(OR(D29="1/2 Congé Synd.",D29="Congé Synd."),((G29-F29)+(I29-H29)+(K29-J29)=0)),VLOOKUP(D29,Systeemgegevens!$J:$K,2,FALSE),IF(AND(D29="1/2 Congé + 1/2 synd.",((G29-F29)+(I29-H29)+(K29-J29)=0)),AC29,0))</f>
        <v>0</v>
      </c>
      <c r="AE29" s="43">
        <f>IF(AND(D29="Jour de pont",((G29-F29)+(I29-H29)+(K29-J29)=0)),VLOOKUP(D29,Systeemgegevens!$J:$K,2,FALSE),0)</f>
        <v>0</v>
      </c>
      <c r="AF29" s="43">
        <f>IF(AND(D29="Jour libre 4/5",AND((G29-F29)+(I29-H29)+(K29-J29)=0)),VLOOKUP(D29,Systeemgegevens!$J:$K,2,FALSE),0)</f>
        <v>0</v>
      </c>
      <c r="AG29" s="118">
        <f>IF(AND(D29&lt;&gt;"",SUM(AB29:AF29)=0,D29&lt;&gt;$AB$4,D29&lt;&gt;$AC$4,D29&lt;&gt;$AE$4,D29&lt;&gt;$AF$4),VLOOKUP(D29,Systeemgegevens!$J:$K,2,FALSE),0)</f>
        <v>0</v>
      </c>
      <c r="AH29" s="119">
        <f t="shared" si="6"/>
        <v>0</v>
      </c>
      <c r="AI29" s="101">
        <f t="shared" si="7"/>
        <v>0</v>
      </c>
      <c r="AJ29" s="118">
        <f t="shared" si="19"/>
        <v>0</v>
      </c>
      <c r="AK29" s="119">
        <f t="shared" si="8"/>
        <v>0</v>
      </c>
      <c r="AL29" s="101">
        <f t="shared" si="9"/>
        <v>0</v>
      </c>
      <c r="AM29" s="43">
        <f t="shared" si="20"/>
        <v>0</v>
      </c>
      <c r="AN29" s="118">
        <f t="shared" si="21"/>
        <v>0</v>
      </c>
      <c r="AO29" s="122">
        <f t="shared" si="10"/>
        <v>0</v>
      </c>
      <c r="AP29" s="107">
        <f t="shared" si="11"/>
        <v>0</v>
      </c>
      <c r="AQ29" s="107">
        <f t="shared" si="12"/>
        <v>0</v>
      </c>
      <c r="AR29" s="123">
        <f t="shared" si="13"/>
        <v>0</v>
      </c>
      <c r="AS29" s="124">
        <f t="shared" si="14"/>
        <v>0</v>
      </c>
      <c r="AT29" s="124">
        <f t="shared" si="15"/>
        <v>0</v>
      </c>
      <c r="AU29" s="124">
        <f t="shared" si="16"/>
        <v>0</v>
      </c>
      <c r="AV29" s="117" t="s">
        <v>16</v>
      </c>
      <c r="AW29" s="129">
        <f>IF(($R$40=AV29)*AND($R$41&lt;&gt;""),VLOOKUP($R$41,'Barèmes police'!$BM$4:$BN$30,2),0)</f>
        <v>0</v>
      </c>
      <c r="AX29" s="145" t="str">
        <f>IF('Types de jours'!F35&lt;&gt;"",'Types de jours'!F35,"")</f>
        <v/>
      </c>
      <c r="AY29" s="146" t="str">
        <f>IF(AX29&lt;&gt;"",'Types de jours'!I35,"")</f>
        <v/>
      </c>
      <c r="AZ29" s="269"/>
      <c r="BA29" s="154"/>
      <c r="BB29" s="154"/>
      <c r="BC29" s="154"/>
      <c r="BD29" s="154"/>
      <c r="BE29" s="154"/>
      <c r="BF29" s="154"/>
    </row>
    <row r="30" spans="1:58" ht="12.75" customHeight="1" x14ac:dyDescent="0.2">
      <c r="A30" s="34"/>
      <c r="B30" s="24" t="str">
        <f t="shared" si="0"/>
        <v>Sa</v>
      </c>
      <c r="C30" s="25">
        <f t="shared" si="22"/>
        <v>45619</v>
      </c>
      <c r="D30" s="51"/>
      <c r="E30" s="116"/>
      <c r="F30" s="52"/>
      <c r="G30" s="53"/>
      <c r="H30" s="54"/>
      <c r="I30" s="55"/>
      <c r="J30" s="54"/>
      <c r="K30" s="55"/>
      <c r="L30" s="40">
        <f t="shared" si="1"/>
        <v>0</v>
      </c>
      <c r="M30" s="41">
        <f t="shared" si="23"/>
        <v>0.6333333333333333</v>
      </c>
      <c r="N30" s="42">
        <f>IF(AND(D30&lt;&gt;"Jour libre 4/5",B30&lt;&gt;"Sa",B30&lt;&gt;"Di"),SUM(N29,Configuration!$H$41),SUM(N29))</f>
        <v>5.0666666666666647</v>
      </c>
      <c r="O30" s="49" t="str">
        <f t="shared" si="24"/>
        <v>-</v>
      </c>
      <c r="P30" s="143">
        <f t="shared" si="17"/>
        <v>4.4333333333333318</v>
      </c>
      <c r="Q30" s="167">
        <f t="shared" si="18"/>
        <v>0</v>
      </c>
      <c r="R30" s="168">
        <f t="shared" si="18"/>
        <v>0</v>
      </c>
      <c r="S30" s="168">
        <f t="shared" si="18"/>
        <v>0</v>
      </c>
      <c r="T30" s="169">
        <f t="shared" si="18"/>
        <v>0</v>
      </c>
      <c r="U30" s="97">
        <f t="shared" si="2"/>
        <v>0</v>
      </c>
      <c r="V30" s="97">
        <f t="shared" si="3"/>
        <v>0</v>
      </c>
      <c r="W30" s="97">
        <f t="shared" si="4"/>
        <v>0</v>
      </c>
      <c r="X30" s="97">
        <f t="shared" si="5"/>
        <v>0</v>
      </c>
      <c r="Y30" s="209"/>
      <c r="Z30" s="210"/>
      <c r="AA30" s="210"/>
      <c r="AB30" s="128">
        <f>IF(AND(D30="Jour férié semaine",((G30-F30)+(I30-H30)+(K30-J30)=0)),VLOOKUP(D30,Systeemgegevens!$J:$K,2,FALSE),0)</f>
        <v>0</v>
      </c>
      <c r="AC30" s="43">
        <f>IF(AND(NOT(ISERROR(FIND("Congé",D30))),ISERROR(FIND("1/2",D30)),ISERROR(FIND("Synd",D30)),ISERROR(FIND("synd",D30)),(G30-F30+I30-H30+K30-J30)=0),VLOOKUP(D30,Systeemgegevens!$J:$K,2,FALSE),IF(AND(NOT(ISERROR(FIND("1/2 Congé + ",D30))),(G30-F30+I30-H30+K30-J30)=0),VLOOKUP(D30,Systeemgegevens!$J:$K,2,FALSE)/2,IF(AND(NOT(ISERROR(FIND("1/2 Congé",D30))),ISERROR(FIND(" + ",D30)),ISERROR(FIND("1/2 Congé Synd.",D30))),VLOOKUP(D30,Systeemgegevens!$J:$K,2,FALSE),0)))</f>
        <v>0</v>
      </c>
      <c r="AD30" s="43">
        <f>IF(AND(OR(D30="1/2 Congé Synd.",D30="Congé Synd."),((G30-F30)+(I30-H30)+(K30-J30)=0)),VLOOKUP(D30,Systeemgegevens!$J:$K,2,FALSE),IF(AND(D30="1/2 Congé + 1/2 synd.",((G30-F30)+(I30-H30)+(K30-J30)=0)),AC30,0))</f>
        <v>0</v>
      </c>
      <c r="AE30" s="43">
        <f>IF(AND(D30="Jour de pont",((G30-F30)+(I30-H30)+(K30-J30)=0)),VLOOKUP(D30,Systeemgegevens!$J:$K,2,FALSE),0)</f>
        <v>0</v>
      </c>
      <c r="AF30" s="43">
        <f>IF(AND(D30="Jour libre 4/5",AND((G30-F30)+(I30-H30)+(K30-J30)=0)),VLOOKUP(D30,Systeemgegevens!$J:$K,2,FALSE),0)</f>
        <v>0</v>
      </c>
      <c r="AG30" s="118">
        <f>IF(AND(D30&lt;&gt;"",SUM(AB30:AF30)=0,D30&lt;&gt;$AB$4,D30&lt;&gt;$AC$4,D30&lt;&gt;$AE$4,D30&lt;&gt;$AF$4),VLOOKUP(D30,Systeemgegevens!$J:$K,2,FALSE),0)</f>
        <v>0</v>
      </c>
      <c r="AH30" s="119">
        <f t="shared" si="6"/>
        <v>0</v>
      </c>
      <c r="AI30" s="101">
        <f t="shared" si="7"/>
        <v>0</v>
      </c>
      <c r="AJ30" s="118">
        <f t="shared" si="19"/>
        <v>0</v>
      </c>
      <c r="AK30" s="119">
        <f t="shared" si="8"/>
        <v>0</v>
      </c>
      <c r="AL30" s="101">
        <f t="shared" si="9"/>
        <v>0</v>
      </c>
      <c r="AM30" s="43">
        <f t="shared" si="20"/>
        <v>0</v>
      </c>
      <c r="AN30" s="118">
        <f t="shared" si="21"/>
        <v>0</v>
      </c>
      <c r="AO30" s="122">
        <f t="shared" si="10"/>
        <v>0</v>
      </c>
      <c r="AP30" s="107">
        <f t="shared" si="11"/>
        <v>0</v>
      </c>
      <c r="AQ30" s="107">
        <f t="shared" si="12"/>
        <v>0</v>
      </c>
      <c r="AR30" s="123">
        <f t="shared" si="13"/>
        <v>0</v>
      </c>
      <c r="AS30" s="124">
        <f t="shared" si="14"/>
        <v>0</v>
      </c>
      <c r="AT30" s="124">
        <f t="shared" si="15"/>
        <v>0</v>
      </c>
      <c r="AU30" s="124">
        <f t="shared" si="16"/>
        <v>0</v>
      </c>
      <c r="AV30" s="117" t="s">
        <v>14</v>
      </c>
      <c r="AW30" s="129">
        <f>IF(($R$40=AV30)*AND($R$41&lt;&gt;""),VLOOKUP($R$41,'Barèmes police'!$B$40:$C$66,2),0)</f>
        <v>0</v>
      </c>
      <c r="AX30" s="129"/>
      <c r="AY30" s="129"/>
      <c r="AZ30" s="154"/>
      <c r="BA30" s="154"/>
      <c r="BB30" s="154"/>
      <c r="BC30" s="154"/>
      <c r="BD30" s="154"/>
      <c r="BE30" s="154"/>
      <c r="BF30" s="154"/>
    </row>
    <row r="31" spans="1:58" ht="12.75" customHeight="1" x14ac:dyDescent="0.2">
      <c r="A31" s="34"/>
      <c r="B31" s="24" t="str">
        <f t="shared" si="0"/>
        <v>Di</v>
      </c>
      <c r="C31" s="25">
        <f t="shared" si="22"/>
        <v>45620</v>
      </c>
      <c r="D31" s="51"/>
      <c r="E31" s="116"/>
      <c r="F31" s="52"/>
      <c r="G31" s="53"/>
      <c r="H31" s="52"/>
      <c r="I31" s="53"/>
      <c r="J31" s="54"/>
      <c r="K31" s="55"/>
      <c r="L31" s="40">
        <f t="shared" si="1"/>
        <v>0</v>
      </c>
      <c r="M31" s="41">
        <f t="shared" si="23"/>
        <v>0.6333333333333333</v>
      </c>
      <c r="N31" s="42">
        <f>IF(AND(D31&lt;&gt;"Jour libre 4/5",B31&lt;&gt;"Sa",B31&lt;&gt;"Di"),SUM(N30,Configuration!$H$41),SUM(N30))</f>
        <v>5.0666666666666647</v>
      </c>
      <c r="O31" s="49" t="str">
        <f t="shared" si="24"/>
        <v>-</v>
      </c>
      <c r="P31" s="143">
        <f t="shared" si="17"/>
        <v>4.4333333333333318</v>
      </c>
      <c r="Q31" s="167">
        <f t="shared" si="18"/>
        <v>0</v>
      </c>
      <c r="R31" s="168">
        <f t="shared" si="18"/>
        <v>0</v>
      </c>
      <c r="S31" s="168">
        <f t="shared" si="18"/>
        <v>0</v>
      </c>
      <c r="T31" s="169">
        <f t="shared" si="18"/>
        <v>0</v>
      </c>
      <c r="U31" s="97">
        <f t="shared" si="2"/>
        <v>0</v>
      </c>
      <c r="V31" s="97">
        <f t="shared" si="3"/>
        <v>0</v>
      </c>
      <c r="W31" s="97">
        <f t="shared" si="4"/>
        <v>0</v>
      </c>
      <c r="X31" s="97">
        <f t="shared" si="5"/>
        <v>0</v>
      </c>
      <c r="Y31" s="209"/>
      <c r="Z31" s="210"/>
      <c r="AA31" s="210"/>
      <c r="AB31" s="128">
        <f>IF(AND(D31="Jour férié semaine",((G31-F31)+(I31-H31)+(K31-J31)=0)),VLOOKUP(D31,Systeemgegevens!$J:$K,2,FALSE),0)</f>
        <v>0</v>
      </c>
      <c r="AC31" s="43">
        <f>IF(AND(NOT(ISERROR(FIND("Congé",D31))),ISERROR(FIND("1/2",D31)),ISERROR(FIND("Synd",D31)),ISERROR(FIND("synd",D31)),(G31-F31+I31-H31+K31-J31)=0),VLOOKUP(D31,Systeemgegevens!$J:$K,2,FALSE),IF(AND(NOT(ISERROR(FIND("1/2 Congé + ",D31))),(G31-F31+I31-H31+K31-J31)=0),VLOOKUP(D31,Systeemgegevens!$J:$K,2,FALSE)/2,IF(AND(NOT(ISERROR(FIND("1/2 Congé",D31))),ISERROR(FIND(" + ",D31)),ISERROR(FIND("1/2 Congé Synd.",D31))),VLOOKUP(D31,Systeemgegevens!$J:$K,2,FALSE),0)))</f>
        <v>0</v>
      </c>
      <c r="AD31" s="43">
        <f>IF(AND(OR(D31="1/2 Congé Synd.",D31="Congé Synd."),((G31-F31)+(I31-H31)+(K31-J31)=0)),VLOOKUP(D31,Systeemgegevens!$J:$K,2,FALSE),IF(AND(D31="1/2 Congé + 1/2 synd.",((G31-F31)+(I31-H31)+(K31-J31)=0)),AC31,0))</f>
        <v>0</v>
      </c>
      <c r="AE31" s="43">
        <f>IF(AND(D31="Jour de pont",((G31-F31)+(I31-H31)+(K31-J31)=0)),VLOOKUP(D31,Systeemgegevens!$J:$K,2,FALSE),0)</f>
        <v>0</v>
      </c>
      <c r="AF31" s="43">
        <f>IF(AND(D31="Jour libre 4/5",AND((G31-F31)+(I31-H31)+(K31-J31)=0)),VLOOKUP(D31,Systeemgegevens!$J:$K,2,FALSE),0)</f>
        <v>0</v>
      </c>
      <c r="AG31" s="118">
        <f>IF(AND(D31&lt;&gt;"",SUM(AB31:AF31)=0,D31&lt;&gt;$AB$4,D31&lt;&gt;$AC$4,D31&lt;&gt;$AE$4,D31&lt;&gt;$AF$4),VLOOKUP(D31,Systeemgegevens!$J:$K,2,FALSE),0)</f>
        <v>0</v>
      </c>
      <c r="AH31" s="119">
        <f t="shared" si="6"/>
        <v>0</v>
      </c>
      <c r="AI31" s="101">
        <f t="shared" si="7"/>
        <v>0</v>
      </c>
      <c r="AJ31" s="118">
        <f t="shared" si="19"/>
        <v>0</v>
      </c>
      <c r="AK31" s="119">
        <f t="shared" si="8"/>
        <v>0</v>
      </c>
      <c r="AL31" s="101">
        <f t="shared" si="9"/>
        <v>0</v>
      </c>
      <c r="AM31" s="43">
        <f t="shared" si="20"/>
        <v>0</v>
      </c>
      <c r="AN31" s="118">
        <f t="shared" si="21"/>
        <v>0</v>
      </c>
      <c r="AO31" s="122">
        <f t="shared" si="10"/>
        <v>0</v>
      </c>
      <c r="AP31" s="107">
        <f t="shared" si="11"/>
        <v>0</v>
      </c>
      <c r="AQ31" s="107">
        <f t="shared" si="12"/>
        <v>0</v>
      </c>
      <c r="AR31" s="123">
        <f t="shared" si="13"/>
        <v>0</v>
      </c>
      <c r="AS31" s="124">
        <f t="shared" si="14"/>
        <v>0</v>
      </c>
      <c r="AT31" s="124">
        <f t="shared" si="15"/>
        <v>0</v>
      </c>
      <c r="AU31" s="124">
        <f t="shared" si="16"/>
        <v>0</v>
      </c>
      <c r="AV31" s="117" t="s">
        <v>13</v>
      </c>
      <c r="AW31" s="129">
        <f>IF(($R$40=AV31)*AND($R$41&lt;&gt;""),VLOOKUP($R$41,'Barèmes police'!$E$40:$F$66,2),0)</f>
        <v>0</v>
      </c>
      <c r="AX31" s="129"/>
      <c r="AY31" s="129"/>
      <c r="AZ31" s="154"/>
      <c r="BA31" s="154"/>
      <c r="BB31" s="154"/>
      <c r="BC31" s="154"/>
      <c r="BD31" s="154"/>
      <c r="BE31" s="154"/>
      <c r="BF31" s="154"/>
    </row>
    <row r="32" spans="1:58" ht="12.75" customHeight="1" x14ac:dyDescent="0.2">
      <c r="A32" s="34"/>
      <c r="B32" s="24" t="str">
        <f t="shared" si="0"/>
        <v>Lu</v>
      </c>
      <c r="C32" s="25">
        <f t="shared" si="22"/>
        <v>45621</v>
      </c>
      <c r="D32" s="51"/>
      <c r="E32" s="116"/>
      <c r="F32" s="52"/>
      <c r="G32" s="53"/>
      <c r="H32" s="52"/>
      <c r="I32" s="53"/>
      <c r="J32" s="54"/>
      <c r="K32" s="55"/>
      <c r="L32" s="40">
        <f t="shared" si="1"/>
        <v>0</v>
      </c>
      <c r="M32" s="41">
        <f t="shared" si="23"/>
        <v>0.6333333333333333</v>
      </c>
      <c r="N32" s="42">
        <f>IF(AND(D32&lt;&gt;"Jour libre 4/5",B32&lt;&gt;"Sa",B32&lt;&gt;"Di"),SUM(N31,Configuration!$H$41),SUM(N31))</f>
        <v>5.3833333333333311</v>
      </c>
      <c r="O32" s="49" t="str">
        <f t="shared" si="24"/>
        <v>-</v>
      </c>
      <c r="P32" s="143">
        <f t="shared" si="17"/>
        <v>4.7499999999999982</v>
      </c>
      <c r="Q32" s="167">
        <f t="shared" si="18"/>
        <v>0</v>
      </c>
      <c r="R32" s="168">
        <f t="shared" si="18"/>
        <v>0</v>
      </c>
      <c r="S32" s="168">
        <f t="shared" si="18"/>
        <v>0</v>
      </c>
      <c r="T32" s="169">
        <f t="shared" si="18"/>
        <v>0</v>
      </c>
      <c r="U32" s="97">
        <f t="shared" si="2"/>
        <v>0</v>
      </c>
      <c r="V32" s="97">
        <f t="shared" si="3"/>
        <v>0</v>
      </c>
      <c r="W32" s="97">
        <f t="shared" si="4"/>
        <v>0</v>
      </c>
      <c r="X32" s="97">
        <f t="shared" si="5"/>
        <v>0</v>
      </c>
      <c r="Y32" s="209"/>
      <c r="Z32" s="210"/>
      <c r="AA32" s="210"/>
      <c r="AB32" s="128">
        <f>IF(AND(D32="Jour férié semaine",((G32-F32)+(I32-H32)+(K32-J32)=0)),VLOOKUP(D32,Systeemgegevens!$J:$K,2,FALSE),0)</f>
        <v>0</v>
      </c>
      <c r="AC32" s="43">
        <f>IF(AND(NOT(ISERROR(FIND("Congé",D32))),ISERROR(FIND("1/2",D32)),ISERROR(FIND("Synd",D32)),ISERROR(FIND("synd",D32)),(G32-F32+I32-H32+K32-J32)=0),VLOOKUP(D32,Systeemgegevens!$J:$K,2,FALSE),IF(AND(NOT(ISERROR(FIND("1/2 Congé + ",D32))),(G32-F32+I32-H32+K32-J32)=0),VLOOKUP(D32,Systeemgegevens!$J:$K,2,FALSE)/2,IF(AND(NOT(ISERROR(FIND("1/2 Congé",D32))),ISERROR(FIND(" + ",D32)),ISERROR(FIND("1/2 Congé Synd.",D32))),VLOOKUP(D32,Systeemgegevens!$J:$K,2,FALSE),0)))</f>
        <v>0</v>
      </c>
      <c r="AD32" s="43">
        <f>IF(AND(OR(D32="1/2 Congé Synd.",D32="Congé Synd."),((G32-F32)+(I32-H32)+(K32-J32)=0)),VLOOKUP(D32,Systeemgegevens!$J:$K,2,FALSE),IF(AND(D32="1/2 Congé + 1/2 synd.",((G32-F32)+(I32-H32)+(K32-J32)=0)),AC32,0))</f>
        <v>0</v>
      </c>
      <c r="AE32" s="43">
        <f>IF(AND(D32="Jour de pont",((G32-F32)+(I32-H32)+(K32-J32)=0)),VLOOKUP(D32,Systeemgegevens!$J:$K,2,FALSE),0)</f>
        <v>0</v>
      </c>
      <c r="AF32" s="43">
        <f>IF(AND(D32="Jour libre 4/5",AND((G32-F32)+(I32-H32)+(K32-J32)=0)),VLOOKUP(D32,Systeemgegevens!$J:$K,2,FALSE),0)</f>
        <v>0</v>
      </c>
      <c r="AG32" s="118">
        <f>IF(AND(D32&lt;&gt;"",SUM(AB32:AF32)=0,D32&lt;&gt;$AB$4,D32&lt;&gt;$AC$4,D32&lt;&gt;$AE$4,D32&lt;&gt;$AF$4),VLOOKUP(D32,Systeemgegevens!$J:$K,2,FALSE),0)</f>
        <v>0</v>
      </c>
      <c r="AH32" s="119">
        <f t="shared" si="6"/>
        <v>0</v>
      </c>
      <c r="AI32" s="101">
        <f t="shared" si="7"/>
        <v>0</v>
      </c>
      <c r="AJ32" s="118">
        <f t="shared" si="19"/>
        <v>0</v>
      </c>
      <c r="AK32" s="119">
        <f t="shared" si="8"/>
        <v>0</v>
      </c>
      <c r="AL32" s="101">
        <f t="shared" si="9"/>
        <v>0</v>
      </c>
      <c r="AM32" s="43">
        <f t="shared" si="20"/>
        <v>0</v>
      </c>
      <c r="AN32" s="118">
        <f t="shared" si="21"/>
        <v>0</v>
      </c>
      <c r="AO32" s="122">
        <f t="shared" si="10"/>
        <v>0</v>
      </c>
      <c r="AP32" s="107">
        <f t="shared" si="11"/>
        <v>0</v>
      </c>
      <c r="AQ32" s="107">
        <f t="shared" si="12"/>
        <v>0</v>
      </c>
      <c r="AR32" s="123">
        <f t="shared" si="13"/>
        <v>0</v>
      </c>
      <c r="AS32" s="124">
        <f t="shared" si="14"/>
        <v>0</v>
      </c>
      <c r="AT32" s="124">
        <f t="shared" si="15"/>
        <v>0</v>
      </c>
      <c r="AU32" s="124">
        <f t="shared" si="16"/>
        <v>0</v>
      </c>
      <c r="AV32" s="117" t="s">
        <v>7</v>
      </c>
      <c r="AW32" s="129">
        <f>IF(($R$40=AV32)*AND($R$41&lt;&gt;""),VLOOKUP($R$41,'Barèmes police'!$AC$40:$AD$66,2),0)</f>
        <v>0</v>
      </c>
      <c r="AX32" s="129"/>
      <c r="AY32" s="129"/>
      <c r="AZ32" s="154"/>
      <c r="BA32" s="154"/>
      <c r="BB32" s="154"/>
      <c r="BC32" s="154"/>
      <c r="BD32" s="154"/>
      <c r="BE32" s="154"/>
      <c r="BF32" s="154"/>
    </row>
    <row r="33" spans="1:58" ht="12.75" customHeight="1" x14ac:dyDescent="0.2">
      <c r="A33" s="34"/>
      <c r="B33" s="24" t="str">
        <f t="shared" si="0"/>
        <v>Ma</v>
      </c>
      <c r="C33" s="25">
        <f t="shared" si="22"/>
        <v>45622</v>
      </c>
      <c r="D33" s="51"/>
      <c r="E33" s="116"/>
      <c r="F33" s="52"/>
      <c r="G33" s="53"/>
      <c r="H33" s="54"/>
      <c r="I33" s="55"/>
      <c r="J33" s="54"/>
      <c r="K33" s="55"/>
      <c r="L33" s="40">
        <f t="shared" si="1"/>
        <v>0</v>
      </c>
      <c r="M33" s="41">
        <f t="shared" si="23"/>
        <v>0.6333333333333333</v>
      </c>
      <c r="N33" s="42">
        <f>IF(AND(D33&lt;&gt;"Jour libre 4/5",B33&lt;&gt;"Sa",B33&lt;&gt;"Di"),SUM(N32,Configuration!$H$41),SUM(N32))</f>
        <v>5.6999999999999975</v>
      </c>
      <c r="O33" s="49" t="str">
        <f t="shared" si="24"/>
        <v>-</v>
      </c>
      <c r="P33" s="143">
        <f t="shared" si="17"/>
        <v>5.0666666666666647</v>
      </c>
      <c r="Q33" s="167">
        <f t="shared" si="18"/>
        <v>0</v>
      </c>
      <c r="R33" s="168">
        <f t="shared" si="18"/>
        <v>0</v>
      </c>
      <c r="S33" s="168">
        <f t="shared" si="18"/>
        <v>0</v>
      </c>
      <c r="T33" s="169">
        <f t="shared" si="18"/>
        <v>0</v>
      </c>
      <c r="U33" s="97">
        <f t="shared" si="2"/>
        <v>0</v>
      </c>
      <c r="V33" s="97">
        <f t="shared" si="3"/>
        <v>0</v>
      </c>
      <c r="W33" s="97">
        <f t="shared" si="4"/>
        <v>0</v>
      </c>
      <c r="X33" s="97">
        <f t="shared" si="5"/>
        <v>0</v>
      </c>
      <c r="Y33" s="209"/>
      <c r="Z33" s="210"/>
      <c r="AA33" s="210"/>
      <c r="AB33" s="128">
        <f>IF(AND(D33="Jour férié semaine",((G33-F33)+(I33-H33)+(K33-J33)=0)),VLOOKUP(D33,Systeemgegevens!$J:$K,2,FALSE),0)</f>
        <v>0</v>
      </c>
      <c r="AC33" s="43">
        <f>IF(AND(NOT(ISERROR(FIND("Congé",D33))),ISERROR(FIND("1/2",D33)),ISERROR(FIND("Synd",D33)),ISERROR(FIND("synd",D33)),(G33-F33+I33-H33+K33-J33)=0),VLOOKUP(D33,Systeemgegevens!$J:$K,2,FALSE),IF(AND(NOT(ISERROR(FIND("1/2 Congé + ",D33))),(G33-F33+I33-H33+K33-J33)=0),VLOOKUP(D33,Systeemgegevens!$J:$K,2,FALSE)/2,IF(AND(NOT(ISERROR(FIND("1/2 Congé",D33))),ISERROR(FIND(" + ",D33)),ISERROR(FIND("1/2 Congé Synd.",D33))),VLOOKUP(D33,Systeemgegevens!$J:$K,2,FALSE),0)))</f>
        <v>0</v>
      </c>
      <c r="AD33" s="43">
        <f>IF(AND(OR(D33="1/2 Congé Synd.",D33="Congé Synd."),((G33-F33)+(I33-H33)+(K33-J33)=0)),VLOOKUP(D33,Systeemgegevens!$J:$K,2,FALSE),IF(AND(D33="1/2 Congé + 1/2 synd.",((G33-F33)+(I33-H33)+(K33-J33)=0)),AC33,0))</f>
        <v>0</v>
      </c>
      <c r="AE33" s="43">
        <f>IF(AND(D33="Jour de pont",((G33-F33)+(I33-H33)+(K33-J33)=0)),VLOOKUP(D33,Systeemgegevens!$J:$K,2,FALSE),0)</f>
        <v>0</v>
      </c>
      <c r="AF33" s="43">
        <f>IF(AND(D33="Jour libre 4/5",AND((G33-F33)+(I33-H33)+(K33-J33)=0)),VLOOKUP(D33,Systeemgegevens!$J:$K,2,FALSE),0)</f>
        <v>0</v>
      </c>
      <c r="AG33" s="118">
        <f>IF(AND(D33&lt;&gt;"",SUM(AB33:AF33)=0,D33&lt;&gt;$AB$4,D33&lt;&gt;$AC$4,D33&lt;&gt;$AE$4,D33&lt;&gt;$AF$4),VLOOKUP(D33,Systeemgegevens!$J:$K,2,FALSE),0)</f>
        <v>0</v>
      </c>
      <c r="AH33" s="119">
        <f t="shared" si="6"/>
        <v>0</v>
      </c>
      <c r="AI33" s="101">
        <f t="shared" si="7"/>
        <v>0</v>
      </c>
      <c r="AJ33" s="118">
        <f t="shared" si="19"/>
        <v>0</v>
      </c>
      <c r="AK33" s="119">
        <f t="shared" si="8"/>
        <v>0</v>
      </c>
      <c r="AL33" s="101">
        <f t="shared" si="9"/>
        <v>0</v>
      </c>
      <c r="AM33" s="43">
        <f t="shared" si="20"/>
        <v>0</v>
      </c>
      <c r="AN33" s="118">
        <f t="shared" si="21"/>
        <v>0</v>
      </c>
      <c r="AO33" s="122">
        <f t="shared" si="10"/>
        <v>0</v>
      </c>
      <c r="AP33" s="107">
        <f t="shared" si="11"/>
        <v>0</v>
      </c>
      <c r="AQ33" s="107">
        <f t="shared" si="12"/>
        <v>0</v>
      </c>
      <c r="AR33" s="123">
        <f t="shared" si="13"/>
        <v>0</v>
      </c>
      <c r="AS33" s="124">
        <f t="shared" si="14"/>
        <v>0</v>
      </c>
      <c r="AT33" s="124">
        <f t="shared" si="15"/>
        <v>0</v>
      </c>
      <c r="AU33" s="124">
        <f t="shared" si="16"/>
        <v>0</v>
      </c>
      <c r="AV33" s="117" t="s">
        <v>12</v>
      </c>
      <c r="AW33" s="129">
        <f>IF(($R$40=AV33)*AND($R$41&lt;&gt;""),VLOOKUP($R$41,'Barèmes police'!$H$40:$I$66,2),0)</f>
        <v>0</v>
      </c>
      <c r="AX33" s="129"/>
      <c r="AY33" s="129"/>
      <c r="AZ33" s="154"/>
      <c r="BA33" s="154"/>
      <c r="BB33" s="154"/>
      <c r="BC33" s="154"/>
      <c r="BD33" s="154"/>
      <c r="BE33" s="154"/>
      <c r="BF33" s="154"/>
    </row>
    <row r="34" spans="1:58" ht="12.75" customHeight="1" x14ac:dyDescent="0.2">
      <c r="A34" s="34"/>
      <c r="B34" s="24" t="str">
        <f t="shared" si="0"/>
        <v>Me</v>
      </c>
      <c r="C34" s="25">
        <f t="shared" si="22"/>
        <v>45623</v>
      </c>
      <c r="D34" s="51"/>
      <c r="E34" s="116"/>
      <c r="F34" s="52"/>
      <c r="G34" s="53"/>
      <c r="H34" s="54"/>
      <c r="I34" s="55"/>
      <c r="J34" s="54"/>
      <c r="K34" s="55"/>
      <c r="L34" s="40">
        <f t="shared" si="1"/>
        <v>0</v>
      </c>
      <c r="M34" s="41">
        <f t="shared" si="23"/>
        <v>0.6333333333333333</v>
      </c>
      <c r="N34" s="42">
        <f>IF(AND(D34&lt;&gt;"Jour libre 4/5",B34&lt;&gt;"Sa",B34&lt;&gt;"Di"),SUM(N33,Configuration!$H$41),SUM(N33))</f>
        <v>6.0166666666666639</v>
      </c>
      <c r="O34" s="49" t="str">
        <f t="shared" si="24"/>
        <v>-</v>
      </c>
      <c r="P34" s="143">
        <f t="shared" si="17"/>
        <v>5.3833333333333311</v>
      </c>
      <c r="Q34" s="167">
        <f t="shared" si="18"/>
        <v>0</v>
      </c>
      <c r="R34" s="168">
        <f t="shared" si="18"/>
        <v>0</v>
      </c>
      <c r="S34" s="168">
        <f t="shared" si="18"/>
        <v>0</v>
      </c>
      <c r="T34" s="169">
        <f t="shared" si="18"/>
        <v>0</v>
      </c>
      <c r="U34" s="97">
        <f t="shared" si="2"/>
        <v>0</v>
      </c>
      <c r="V34" s="97">
        <f t="shared" si="3"/>
        <v>0</v>
      </c>
      <c r="W34" s="97">
        <f t="shared" si="4"/>
        <v>0</v>
      </c>
      <c r="X34" s="97">
        <f t="shared" si="5"/>
        <v>0</v>
      </c>
      <c r="Y34" s="209"/>
      <c r="Z34" s="210"/>
      <c r="AA34" s="210"/>
      <c r="AB34" s="128">
        <f>IF(AND(D34="Jour férié semaine",((G34-F34)+(I34-H34)+(K34-J34)=0)),VLOOKUP(D34,Systeemgegevens!$J:$K,2,FALSE),0)</f>
        <v>0</v>
      </c>
      <c r="AC34" s="43">
        <f>IF(AND(NOT(ISERROR(FIND("Congé",D34))),ISERROR(FIND("1/2",D34)),ISERROR(FIND("Synd",D34)),ISERROR(FIND("synd",D34)),(G34-F34+I34-H34+K34-J34)=0),VLOOKUP(D34,Systeemgegevens!$J:$K,2,FALSE),IF(AND(NOT(ISERROR(FIND("1/2 Congé + ",D34))),(G34-F34+I34-H34+K34-J34)=0),VLOOKUP(D34,Systeemgegevens!$J:$K,2,FALSE)/2,IF(AND(NOT(ISERROR(FIND("1/2 Congé",D34))),ISERROR(FIND(" + ",D34)),ISERROR(FIND("1/2 Congé Synd.",D34))),VLOOKUP(D34,Systeemgegevens!$J:$K,2,FALSE),0)))</f>
        <v>0</v>
      </c>
      <c r="AD34" s="43">
        <f>IF(AND(OR(D34="1/2 Congé Synd.",D34="Congé Synd."),((G34-F34)+(I34-H34)+(K34-J34)=0)),VLOOKUP(D34,Systeemgegevens!$J:$K,2,FALSE),IF(AND(D34="1/2 Congé + 1/2 synd.",((G34-F34)+(I34-H34)+(K34-J34)=0)),AC34,0))</f>
        <v>0</v>
      </c>
      <c r="AE34" s="43">
        <f>IF(AND(D34="Jour de pont",((G34-F34)+(I34-H34)+(K34-J34)=0)),VLOOKUP(D34,Systeemgegevens!$J:$K,2,FALSE),0)</f>
        <v>0</v>
      </c>
      <c r="AF34" s="43">
        <f>IF(AND(D34="Jour libre 4/5",AND((G34-F34)+(I34-H34)+(K34-J34)=0)),VLOOKUP(D34,Systeemgegevens!$J:$K,2,FALSE),0)</f>
        <v>0</v>
      </c>
      <c r="AG34" s="118">
        <f>IF(AND(D34&lt;&gt;"",SUM(AB34:AF34)=0,D34&lt;&gt;$AB$4,D34&lt;&gt;$AC$4,D34&lt;&gt;$AE$4,D34&lt;&gt;$AF$4),VLOOKUP(D34,Systeemgegevens!$J:$K,2,FALSE),0)</f>
        <v>0</v>
      </c>
      <c r="AH34" s="119">
        <f t="shared" si="6"/>
        <v>0</v>
      </c>
      <c r="AI34" s="101">
        <f t="shared" si="7"/>
        <v>0</v>
      </c>
      <c r="AJ34" s="118">
        <f t="shared" si="19"/>
        <v>0</v>
      </c>
      <c r="AK34" s="119">
        <f t="shared" si="8"/>
        <v>0</v>
      </c>
      <c r="AL34" s="101">
        <f t="shared" si="9"/>
        <v>0</v>
      </c>
      <c r="AM34" s="43">
        <f t="shared" si="20"/>
        <v>0</v>
      </c>
      <c r="AN34" s="118">
        <f t="shared" si="21"/>
        <v>0</v>
      </c>
      <c r="AO34" s="122">
        <f t="shared" si="10"/>
        <v>0</v>
      </c>
      <c r="AP34" s="107">
        <f t="shared" si="11"/>
        <v>0</v>
      </c>
      <c r="AQ34" s="107">
        <f t="shared" si="12"/>
        <v>0</v>
      </c>
      <c r="AR34" s="123">
        <f t="shared" si="13"/>
        <v>0</v>
      </c>
      <c r="AS34" s="124">
        <f t="shared" si="14"/>
        <v>0</v>
      </c>
      <c r="AT34" s="124">
        <f t="shared" si="15"/>
        <v>0</v>
      </c>
      <c r="AU34" s="124">
        <f t="shared" si="16"/>
        <v>0</v>
      </c>
      <c r="AV34" s="117" t="s">
        <v>6</v>
      </c>
      <c r="AW34" s="129">
        <f>IF(($R$40=AV34)*AND($R$41&lt;&gt;""),VLOOKUP($R$41,'Barèmes police'!$AF$40:$AG$66,2),0)</f>
        <v>0</v>
      </c>
      <c r="AX34" s="129"/>
      <c r="AY34" s="129"/>
      <c r="AZ34" s="154"/>
      <c r="BA34" s="154"/>
      <c r="BB34" s="154"/>
      <c r="BC34" s="154"/>
      <c r="BD34" s="154"/>
      <c r="BE34" s="154"/>
      <c r="BF34" s="154"/>
    </row>
    <row r="35" spans="1:58" ht="12.75" customHeight="1" x14ac:dyDescent="0.2">
      <c r="A35" s="34"/>
      <c r="B35" s="24" t="str">
        <f t="shared" si="0"/>
        <v>Je</v>
      </c>
      <c r="C35" s="25">
        <f t="shared" si="22"/>
        <v>45624</v>
      </c>
      <c r="D35" s="51"/>
      <c r="E35" s="116"/>
      <c r="F35" s="52"/>
      <c r="G35" s="53"/>
      <c r="H35" s="54"/>
      <c r="I35" s="55"/>
      <c r="J35" s="54"/>
      <c r="K35" s="55"/>
      <c r="L35" s="40">
        <f t="shared" si="1"/>
        <v>0</v>
      </c>
      <c r="M35" s="41">
        <f t="shared" si="23"/>
        <v>0.6333333333333333</v>
      </c>
      <c r="N35" s="42">
        <f>IF(AND(D35&lt;&gt;"Jour libre 4/5",B35&lt;&gt;"Sa",B35&lt;&gt;"Di"),SUM(N34,Configuration!$H$41),SUM(N34))</f>
        <v>6.3333333333333304</v>
      </c>
      <c r="O35" s="49" t="str">
        <f t="shared" si="24"/>
        <v>-</v>
      </c>
      <c r="P35" s="143">
        <f t="shared" si="17"/>
        <v>5.6999999999999975</v>
      </c>
      <c r="Q35" s="167">
        <f t="shared" si="18"/>
        <v>0</v>
      </c>
      <c r="R35" s="168">
        <f t="shared" si="18"/>
        <v>0</v>
      </c>
      <c r="S35" s="168">
        <f t="shared" si="18"/>
        <v>0</v>
      </c>
      <c r="T35" s="169">
        <f t="shared" si="18"/>
        <v>0</v>
      </c>
      <c r="U35" s="97">
        <f t="shared" si="2"/>
        <v>0</v>
      </c>
      <c r="V35" s="97">
        <f t="shared" si="3"/>
        <v>0</v>
      </c>
      <c r="W35" s="97">
        <f t="shared" si="4"/>
        <v>0</v>
      </c>
      <c r="X35" s="97">
        <f t="shared" si="5"/>
        <v>0</v>
      </c>
      <c r="Y35" s="209"/>
      <c r="Z35" s="210"/>
      <c r="AA35" s="210"/>
      <c r="AB35" s="128">
        <f>IF(AND(D35="Jour férié semaine",((G35-F35)+(I35-H35)+(K35-J35)=0)),VLOOKUP(D35,Systeemgegevens!$J:$K,2,FALSE),0)</f>
        <v>0</v>
      </c>
      <c r="AC35" s="43">
        <f>IF(AND(NOT(ISERROR(FIND("Congé",D35))),ISERROR(FIND("1/2",D35)),ISERROR(FIND("Synd",D35)),ISERROR(FIND("synd",D35)),(G35-F35+I35-H35+K35-J35)=0),VLOOKUP(D35,Systeemgegevens!$J:$K,2,FALSE),IF(AND(NOT(ISERROR(FIND("1/2 Congé + ",D35))),(G35-F35+I35-H35+K35-J35)=0),VLOOKUP(D35,Systeemgegevens!$J:$K,2,FALSE)/2,IF(AND(NOT(ISERROR(FIND("1/2 Congé",D35))),ISERROR(FIND(" + ",D35)),ISERROR(FIND("1/2 Congé Synd.",D35))),VLOOKUP(D35,Systeemgegevens!$J:$K,2,FALSE),0)))</f>
        <v>0</v>
      </c>
      <c r="AD35" s="43">
        <f>IF(AND(OR(D35="1/2 Congé Synd.",D35="Congé Synd."),((G35-F35)+(I35-H35)+(K35-J35)=0)),VLOOKUP(D35,Systeemgegevens!$J:$K,2,FALSE),IF(AND(D35="1/2 Congé + 1/2 synd.",((G35-F35)+(I35-H35)+(K35-J35)=0)),AC35,0))</f>
        <v>0</v>
      </c>
      <c r="AE35" s="43">
        <f>IF(AND(D35="Jour de pont",((G35-F35)+(I35-H35)+(K35-J35)=0)),VLOOKUP(D35,Systeemgegevens!$J:$K,2,FALSE),0)</f>
        <v>0</v>
      </c>
      <c r="AF35" s="43">
        <f>IF(AND(D35="Jour libre 4/5",AND((G35-F35)+(I35-H35)+(K35-J35)=0)),VLOOKUP(D35,Systeemgegevens!$J:$K,2,FALSE),0)</f>
        <v>0</v>
      </c>
      <c r="AG35" s="118">
        <f>IF(AND(D35&lt;&gt;"",SUM(AB35:AF35)=0,D35&lt;&gt;$AB$4,D35&lt;&gt;$AC$4,D35&lt;&gt;$AE$4,D35&lt;&gt;$AF$4),VLOOKUP(D35,Systeemgegevens!$J:$K,2,FALSE),0)</f>
        <v>0</v>
      </c>
      <c r="AH35" s="119">
        <f t="shared" si="6"/>
        <v>0</v>
      </c>
      <c r="AI35" s="101">
        <f t="shared" si="7"/>
        <v>0</v>
      </c>
      <c r="AJ35" s="118">
        <f t="shared" si="19"/>
        <v>0</v>
      </c>
      <c r="AK35" s="119">
        <f t="shared" si="8"/>
        <v>0</v>
      </c>
      <c r="AL35" s="101">
        <f t="shared" si="9"/>
        <v>0</v>
      </c>
      <c r="AM35" s="43">
        <f t="shared" si="20"/>
        <v>0</v>
      </c>
      <c r="AN35" s="118">
        <f t="shared" si="21"/>
        <v>0</v>
      </c>
      <c r="AO35" s="122">
        <f t="shared" si="10"/>
        <v>0</v>
      </c>
      <c r="AP35" s="107">
        <f t="shared" si="11"/>
        <v>0</v>
      </c>
      <c r="AQ35" s="107">
        <f t="shared" si="12"/>
        <v>0</v>
      </c>
      <c r="AR35" s="123">
        <f t="shared" si="13"/>
        <v>0</v>
      </c>
      <c r="AS35" s="124">
        <f t="shared" si="14"/>
        <v>0</v>
      </c>
      <c r="AT35" s="124">
        <f t="shared" si="15"/>
        <v>0</v>
      </c>
      <c r="AU35" s="124">
        <f t="shared" si="16"/>
        <v>0</v>
      </c>
      <c r="AV35" s="117" t="s">
        <v>11</v>
      </c>
      <c r="AW35" s="129">
        <f>IF(($R$40=AV35)*AND($R$41&lt;&gt;""),VLOOKUP($R$41,'Barèmes police'!$K$40:$L$66,2),0)</f>
        <v>0</v>
      </c>
      <c r="AX35" s="129"/>
      <c r="AY35" s="129"/>
      <c r="AZ35" s="154"/>
      <c r="BA35" s="154"/>
      <c r="BB35" s="154"/>
      <c r="BC35" s="154"/>
      <c r="BD35" s="154"/>
      <c r="BE35" s="154"/>
      <c r="BF35" s="154"/>
    </row>
    <row r="36" spans="1:58" ht="12.75" customHeight="1" x14ac:dyDescent="0.2">
      <c r="A36" s="34"/>
      <c r="B36" s="24" t="str">
        <f t="shared" si="0"/>
        <v>Ve</v>
      </c>
      <c r="C36" s="25">
        <f t="shared" si="22"/>
        <v>45625</v>
      </c>
      <c r="D36" s="51"/>
      <c r="E36" s="116"/>
      <c r="F36" s="52"/>
      <c r="G36" s="53"/>
      <c r="H36" s="54"/>
      <c r="I36" s="55"/>
      <c r="J36" s="54"/>
      <c r="K36" s="55"/>
      <c r="L36" s="40">
        <f t="shared" si="1"/>
        <v>0</v>
      </c>
      <c r="M36" s="41">
        <f t="shared" si="23"/>
        <v>0.6333333333333333</v>
      </c>
      <c r="N36" s="42">
        <f>IF(AND(D36&lt;&gt;"Jour libre 4/5",B36&lt;&gt;"Sa",B36&lt;&gt;"Di"),SUM(N35,Configuration!$H$41),SUM(N35))</f>
        <v>6.6499999999999968</v>
      </c>
      <c r="O36" s="49" t="str">
        <f t="shared" si="24"/>
        <v>-</v>
      </c>
      <c r="P36" s="143">
        <f t="shared" si="17"/>
        <v>6.0166666666666639</v>
      </c>
      <c r="Q36" s="167">
        <f t="shared" si="18"/>
        <v>0</v>
      </c>
      <c r="R36" s="168">
        <f t="shared" si="18"/>
        <v>0</v>
      </c>
      <c r="S36" s="168">
        <f t="shared" si="18"/>
        <v>0</v>
      </c>
      <c r="T36" s="169">
        <f t="shared" si="18"/>
        <v>0</v>
      </c>
      <c r="U36" s="97">
        <f t="shared" si="2"/>
        <v>0</v>
      </c>
      <c r="V36" s="97">
        <f t="shared" si="3"/>
        <v>0</v>
      </c>
      <c r="W36" s="97">
        <f t="shared" si="4"/>
        <v>0</v>
      </c>
      <c r="X36" s="97">
        <f t="shared" si="5"/>
        <v>0</v>
      </c>
      <c r="Y36" s="209"/>
      <c r="Z36" s="210"/>
      <c r="AA36" s="210"/>
      <c r="AB36" s="128">
        <f>IF(AND(D36="Jour férié semaine",((G36-F36)+(I36-H36)+(K36-J36)=0)),VLOOKUP(D36,Systeemgegevens!$J:$K,2,FALSE),0)</f>
        <v>0</v>
      </c>
      <c r="AC36" s="43">
        <f>IF(AND(NOT(ISERROR(FIND("Congé",D36))),ISERROR(FIND("1/2",D36)),ISERROR(FIND("Synd",D36)),ISERROR(FIND("synd",D36)),(G36-F36+I36-H36+K36-J36)=0),VLOOKUP(D36,Systeemgegevens!$J:$K,2,FALSE),IF(AND(NOT(ISERROR(FIND("1/2 Congé + ",D36))),(G36-F36+I36-H36+K36-J36)=0),VLOOKUP(D36,Systeemgegevens!$J:$K,2,FALSE)/2,IF(AND(NOT(ISERROR(FIND("1/2 Congé",D36))),ISERROR(FIND(" + ",D36)),ISERROR(FIND("1/2 Congé Synd.",D36))),VLOOKUP(D36,Systeemgegevens!$J:$K,2,FALSE),0)))</f>
        <v>0</v>
      </c>
      <c r="AD36" s="43">
        <f>IF(AND(OR(D36="1/2 Congé Synd.",D36="Congé Synd."),((G36-F36)+(I36-H36)+(K36-J36)=0)),VLOOKUP(D36,Systeemgegevens!$J:$K,2,FALSE),IF(AND(D36="1/2 Congé + 1/2 synd.",((G36-F36)+(I36-H36)+(K36-J36)=0)),AC36,0))</f>
        <v>0</v>
      </c>
      <c r="AE36" s="43">
        <f>IF(AND(D36="Jour de pont",((G36-F36)+(I36-H36)+(K36-J36)=0)),VLOOKUP(D36,Systeemgegevens!$J:$K,2,FALSE),0)</f>
        <v>0</v>
      </c>
      <c r="AF36" s="43">
        <f>IF(AND(D36="Jour libre 4/5",AND((G36-F36)+(I36-H36)+(K36-J36)=0)),VLOOKUP(D36,Systeemgegevens!$J:$K,2,FALSE),0)</f>
        <v>0</v>
      </c>
      <c r="AG36" s="118">
        <f>IF(AND(D36&lt;&gt;"",SUM(AB36:AF36)=0,D36&lt;&gt;$AB$4,D36&lt;&gt;$AC$4,D36&lt;&gt;$AE$4,D36&lt;&gt;$AF$4),VLOOKUP(D36,Systeemgegevens!$J:$K,2,FALSE),0)</f>
        <v>0</v>
      </c>
      <c r="AH36" s="119">
        <f t="shared" si="6"/>
        <v>0</v>
      </c>
      <c r="AI36" s="101">
        <f t="shared" si="7"/>
        <v>0</v>
      </c>
      <c r="AJ36" s="118">
        <f t="shared" si="19"/>
        <v>0</v>
      </c>
      <c r="AK36" s="119">
        <f t="shared" si="8"/>
        <v>0</v>
      </c>
      <c r="AL36" s="101">
        <f t="shared" si="9"/>
        <v>0</v>
      </c>
      <c r="AM36" s="43">
        <f t="shared" si="20"/>
        <v>0</v>
      </c>
      <c r="AN36" s="118">
        <f t="shared" si="21"/>
        <v>0</v>
      </c>
      <c r="AO36" s="122">
        <f t="shared" si="10"/>
        <v>0</v>
      </c>
      <c r="AP36" s="107">
        <f t="shared" si="11"/>
        <v>0</v>
      </c>
      <c r="AQ36" s="107">
        <f t="shared" si="12"/>
        <v>0</v>
      </c>
      <c r="AR36" s="123">
        <f t="shared" si="13"/>
        <v>0</v>
      </c>
      <c r="AS36" s="124">
        <f t="shared" si="14"/>
        <v>0</v>
      </c>
      <c r="AT36" s="124">
        <f t="shared" si="15"/>
        <v>0</v>
      </c>
      <c r="AU36" s="124">
        <f t="shared" si="16"/>
        <v>0</v>
      </c>
      <c r="AV36" s="117" t="s">
        <v>2</v>
      </c>
      <c r="AW36" s="129">
        <f>IF(($R$40=AV36)*AND($R$41&lt;&gt;""),VLOOKUP($R$41,'Barèmes police'!$AR$40:$AS$66,2),0)</f>
        <v>0</v>
      </c>
      <c r="AX36" s="129"/>
      <c r="AY36" s="129"/>
      <c r="AZ36" s="154"/>
      <c r="BA36" s="154"/>
      <c r="BB36" s="154"/>
      <c r="BC36" s="154"/>
      <c r="BD36" s="154"/>
      <c r="BE36" s="154"/>
      <c r="BF36" s="154"/>
    </row>
    <row r="37" spans="1:58" ht="12.75" customHeight="1" x14ac:dyDescent="0.2">
      <c r="A37" s="34"/>
      <c r="B37" s="196" t="str">
        <f t="shared" si="0"/>
        <v>Sa</v>
      </c>
      <c r="C37" s="25">
        <f t="shared" si="22"/>
        <v>45626</v>
      </c>
      <c r="D37" s="197"/>
      <c r="E37" s="56"/>
      <c r="F37" s="149"/>
      <c r="G37" s="150"/>
      <c r="H37" s="57"/>
      <c r="I37" s="58"/>
      <c r="J37" s="57"/>
      <c r="K37" s="58"/>
      <c r="L37" s="44">
        <f t="shared" si="1"/>
        <v>0</v>
      </c>
      <c r="M37" s="46">
        <f t="shared" si="23"/>
        <v>0.6333333333333333</v>
      </c>
      <c r="N37" s="198">
        <f>IF(AND(D37&lt;&gt;"Jour libre 4/5",B37&lt;&gt;"Sa",B37&lt;&gt;"Di"),SUM(N36,Configuration!$H$41),SUM(N36))</f>
        <v>6.6499999999999968</v>
      </c>
      <c r="O37" s="50" t="str">
        <f t="shared" si="24"/>
        <v>-</v>
      </c>
      <c r="P37" s="142">
        <f t="shared" si="17"/>
        <v>6.0166666666666639</v>
      </c>
      <c r="Q37" s="170">
        <f t="shared" si="18"/>
        <v>0</v>
      </c>
      <c r="R37" s="171">
        <f t="shared" si="18"/>
        <v>0</v>
      </c>
      <c r="S37" s="171">
        <f t="shared" si="18"/>
        <v>0</v>
      </c>
      <c r="T37" s="172">
        <f t="shared" si="18"/>
        <v>0</v>
      </c>
      <c r="U37" s="98">
        <f t="shared" si="2"/>
        <v>0</v>
      </c>
      <c r="V37" s="98">
        <f t="shared" si="3"/>
        <v>0</v>
      </c>
      <c r="W37" s="98">
        <f t="shared" si="4"/>
        <v>0</v>
      </c>
      <c r="X37" s="98">
        <f t="shared" si="5"/>
        <v>0</v>
      </c>
      <c r="Y37" s="211"/>
      <c r="Z37" s="212"/>
      <c r="AA37" s="212"/>
      <c r="AB37" s="128">
        <f>IF(AND(D37="Jour férié semaine",((G37-F37)+(I37-H37)+(K37-J37)=0)),VLOOKUP(D37,Systeemgegevens!$J:$K,2,FALSE),0)</f>
        <v>0</v>
      </c>
      <c r="AC37" s="43">
        <f>IF(AND(NOT(ISERROR(FIND("Congé",D37))),ISERROR(FIND("1/2",D37)),ISERROR(FIND("Synd",D37)),ISERROR(FIND("synd",D37)),(G37-F37+I37-H37+K37-J37)=0),VLOOKUP(D37,Systeemgegevens!$J:$K,2,FALSE),IF(AND(NOT(ISERROR(FIND("1/2 Congé + ",D37))),(G37-F37+I37-H37+K37-J37)=0),VLOOKUP(D37,Systeemgegevens!$J:$K,2,FALSE)/2,IF(AND(NOT(ISERROR(FIND("1/2 Congé",D37))),ISERROR(FIND(" + ",D37)),ISERROR(FIND("1/2 Congé Synd.",D37))),VLOOKUP(D37,Systeemgegevens!$J:$K,2,FALSE),0)))</f>
        <v>0</v>
      </c>
      <c r="AD37" s="43">
        <f>IF(AND(OR(D37="1/2 Congé Synd.",D37="Congé Synd."),((G37-F37)+(I37-H37)+(K37-J37)=0)),VLOOKUP(D37,Systeemgegevens!$J:$K,2,FALSE),IF(AND(D37="1/2 Congé + 1/2 synd.",((G37-F37)+(I37-H37)+(K37-J37)=0)),AC37,0))</f>
        <v>0</v>
      </c>
      <c r="AE37" s="43">
        <f>IF(AND(D37="Jour de pont",((G37-F37)+(I37-H37)+(K37-J37)=0)),VLOOKUP(D37,Systeemgegevens!$J:$K,2,FALSE),0)</f>
        <v>0</v>
      </c>
      <c r="AF37" s="43">
        <f>IF(AND(D37="Jour libre 4/5",AND((G37-F37)+(I37-H37)+(K37-J37)=0)),VLOOKUP(D37,Systeemgegevens!$J:$K,2,FALSE),0)</f>
        <v>0</v>
      </c>
      <c r="AG37" s="118">
        <f>IF(AND(D37&lt;&gt;"",SUM(AB37:AF37)=0,D37&lt;&gt;$AB$4,D37&lt;&gt;$AC$4,D37&lt;&gt;$AE$4,D37&lt;&gt;$AF$4),VLOOKUP(D37,Systeemgegevens!$J:$K,2,FALSE),0)</f>
        <v>0</v>
      </c>
      <c r="AH37" s="119">
        <f t="shared" si="6"/>
        <v>0</v>
      </c>
      <c r="AI37" s="101">
        <f t="shared" si="7"/>
        <v>0</v>
      </c>
      <c r="AJ37" s="118">
        <f t="shared" si="19"/>
        <v>0</v>
      </c>
      <c r="AK37" s="119">
        <f t="shared" si="8"/>
        <v>0</v>
      </c>
      <c r="AL37" s="101">
        <f t="shared" si="9"/>
        <v>0</v>
      </c>
      <c r="AM37" s="43">
        <f t="shared" si="20"/>
        <v>0</v>
      </c>
      <c r="AN37" s="118">
        <f t="shared" si="21"/>
        <v>0</v>
      </c>
      <c r="AO37" s="122">
        <f t="shared" si="10"/>
        <v>0</v>
      </c>
      <c r="AP37" s="107">
        <f t="shared" si="11"/>
        <v>0</v>
      </c>
      <c r="AQ37" s="107">
        <f t="shared" si="12"/>
        <v>0</v>
      </c>
      <c r="AR37" s="123">
        <f t="shared" si="13"/>
        <v>0</v>
      </c>
      <c r="AS37" s="124">
        <f t="shared" si="14"/>
        <v>0</v>
      </c>
      <c r="AT37" s="124">
        <f t="shared" si="15"/>
        <v>0</v>
      </c>
      <c r="AU37" s="124">
        <f t="shared" si="16"/>
        <v>0</v>
      </c>
      <c r="AV37" s="117" t="s">
        <v>269</v>
      </c>
      <c r="AW37" s="129">
        <f>IF(($R$40=AV37)*AND($R$41&lt;&gt;""),VLOOKUP($R$41,'Barèmes police'!$AU$40:$AV$66,2),0)</f>
        <v>0</v>
      </c>
      <c r="AX37" s="129"/>
      <c r="AY37" s="129"/>
      <c r="AZ37" s="154"/>
      <c r="BA37" s="154"/>
      <c r="BB37" s="154"/>
      <c r="BC37" s="154"/>
      <c r="BD37" s="154"/>
      <c r="BE37" s="154"/>
      <c r="BF37" s="154"/>
    </row>
    <row r="38" spans="1:58" ht="12.75" customHeight="1" x14ac:dyDescent="0.2">
      <c r="C38" s="281"/>
      <c r="AX38" s="129"/>
      <c r="AY38" s="129"/>
    </row>
    <row r="39" spans="1:58" ht="12.75" customHeight="1" x14ac:dyDescent="0.2">
      <c r="J39" s="215"/>
      <c r="K39" s="215"/>
      <c r="L39" s="215"/>
      <c r="M39" s="216"/>
      <c r="N39" s="215"/>
      <c r="O39" s="217"/>
      <c r="P39" s="215"/>
      <c r="Q39" s="215"/>
      <c r="R39" s="215"/>
      <c r="S39" s="215"/>
      <c r="T39" s="215"/>
      <c r="U39" s="217"/>
      <c r="V39" s="217"/>
      <c r="W39" s="416" t="s">
        <v>212</v>
      </c>
      <c r="X39" s="417"/>
      <c r="Y39" s="23"/>
      <c r="Z39" s="218"/>
      <c r="AA39" s="218"/>
      <c r="AV39" s="117" t="s">
        <v>8</v>
      </c>
      <c r="AW39" s="129">
        <f>IF(($R$40=AV39)*AND($R$41&lt;&gt;""),VLOOKUP($R$41,'Barèmes police'!$Z$40:$AA$66,2),0)</f>
        <v>0</v>
      </c>
      <c r="AX39" s="129"/>
      <c r="AY39" s="129"/>
    </row>
    <row r="40" spans="1:58" ht="12.75" customHeight="1" x14ac:dyDescent="0.2">
      <c r="B40" s="475" t="s">
        <v>201</v>
      </c>
      <c r="C40" s="414"/>
      <c r="D40" s="398"/>
      <c r="E40" s="397" t="s">
        <v>202</v>
      </c>
      <c r="F40" s="398"/>
      <c r="G40" s="414" t="s">
        <v>243</v>
      </c>
      <c r="H40" s="415"/>
      <c r="J40" s="407" t="s">
        <v>241</v>
      </c>
      <c r="K40" s="408"/>
      <c r="L40" s="408"/>
      <c r="M40" s="408"/>
      <c r="N40" s="408"/>
      <c r="O40" s="219"/>
      <c r="P40" s="220"/>
      <c r="Q40" s="220"/>
      <c r="R40" s="405" t="s">
        <v>36</v>
      </c>
      <c r="S40" s="406"/>
      <c r="T40" s="402" t="s">
        <v>213</v>
      </c>
      <c r="U40" s="403"/>
      <c r="V40" s="404"/>
      <c r="W40" s="221">
        <v>1</v>
      </c>
      <c r="X40" s="222" t="s">
        <v>54</v>
      </c>
      <c r="Y40" s="23"/>
      <c r="Z40" s="383" t="s">
        <v>75</v>
      </c>
      <c r="AA40" s="384"/>
      <c r="AV40" s="117" t="s">
        <v>5</v>
      </c>
      <c r="AW40" s="129">
        <f>IF(($R$40=AV40)*AND($R$41&lt;&gt;""),VLOOKUP($R$41,'Barèmes police'!$AI$40:$AJ$66,2),0)</f>
        <v>0</v>
      </c>
      <c r="AX40" s="129"/>
      <c r="AY40" s="129"/>
    </row>
    <row r="41" spans="1:58" ht="12.75" customHeight="1" x14ac:dyDescent="0.2">
      <c r="B41" s="476" t="s">
        <v>205</v>
      </c>
      <c r="C41" s="477"/>
      <c r="D41" s="478"/>
      <c r="E41" s="412">
        <f>Oct!E46</f>
        <v>34</v>
      </c>
      <c r="F41" s="413"/>
      <c r="G41" s="399">
        <f>Oct!G46</f>
        <v>10.766666666666666</v>
      </c>
      <c r="H41" s="399"/>
      <c r="J41" s="223"/>
      <c r="K41" s="224"/>
      <c r="L41" s="224"/>
      <c r="M41" s="224"/>
      <c r="N41" s="224"/>
      <c r="O41" s="225"/>
      <c r="P41" s="226"/>
      <c r="Q41" s="226"/>
      <c r="R41" s="464">
        <v>0</v>
      </c>
      <c r="S41" s="465"/>
      <c r="T41" s="466">
        <f>SUM(AW8:AW201)</f>
        <v>14703.88</v>
      </c>
      <c r="U41" s="467"/>
      <c r="V41" s="468"/>
      <c r="W41" s="213">
        <v>13409.11</v>
      </c>
      <c r="X41" s="214">
        <v>12735.61</v>
      </c>
      <c r="Y41" s="23"/>
      <c r="Z41" s="457">
        <v>2.0398999999999998</v>
      </c>
      <c r="AA41" s="458"/>
      <c r="AV41" s="117" t="s">
        <v>10</v>
      </c>
      <c r="AW41" s="129">
        <f>IF(($R$40=AV41)*AND($R$41&lt;&gt;""),VLOOKUP($R$41,'Barèmes police'!$N$40:$O$66,2),0)</f>
        <v>0</v>
      </c>
      <c r="AX41" s="129"/>
      <c r="AY41" s="129"/>
    </row>
    <row r="42" spans="1:58" ht="12.75" customHeight="1" x14ac:dyDescent="0.2">
      <c r="B42" s="476" t="s">
        <v>203</v>
      </c>
      <c r="C42" s="477"/>
      <c r="D42" s="478"/>
      <c r="E42" s="459">
        <v>0</v>
      </c>
      <c r="F42" s="460"/>
      <c r="G42" s="463">
        <f>E42*Configuration!$H$41</f>
        <v>0</v>
      </c>
      <c r="H42" s="463"/>
      <c r="J42" s="227" t="s">
        <v>215</v>
      </c>
      <c r="K42" s="228"/>
      <c r="L42" s="229"/>
      <c r="M42" s="230">
        <f>IF(MINUTE(SUM(U8:U38))&gt;=30,SUM(U8:U38)+(TIME(1,0,0))-TIME(0,MINUTE(SUM(U8:U38)),0),SUM(U8:U38)-TIME(0,MINUTE(SUM(U8:U38)),0))</f>
        <v>0</v>
      </c>
      <c r="N42" s="219" t="s">
        <v>190</v>
      </c>
      <c r="O42" s="231"/>
      <c r="P42" s="220"/>
      <c r="Q42" s="220"/>
      <c r="R42" s="232"/>
      <c r="S42" s="354">
        <f>IF($R$2="Oui",(M42*AK43*24),0)</f>
        <v>0</v>
      </c>
      <c r="T42" s="355"/>
      <c r="U42" s="355"/>
      <c r="V42" s="233" t="s">
        <v>55</v>
      </c>
      <c r="W42" s="234">
        <f>IF($R$3="Oui",M42*AK48*24,0)</f>
        <v>0</v>
      </c>
      <c r="X42" s="235" t="s">
        <v>55</v>
      </c>
      <c r="Y42" s="23"/>
      <c r="Z42" s="218"/>
      <c r="AA42" s="218"/>
      <c r="AB42" s="352" t="s">
        <v>66</v>
      </c>
      <c r="AC42" s="353"/>
      <c r="AD42" s="353"/>
      <c r="AE42" s="130">
        <f>T41*Z41</f>
        <v>29994.444811999994</v>
      </c>
      <c r="AG42" s="352" t="s">
        <v>64</v>
      </c>
      <c r="AH42" s="353"/>
      <c r="AI42" s="353"/>
      <c r="AJ42" s="353"/>
      <c r="AK42" s="130">
        <f>T41*Z41/1850</f>
        <v>16.213213411891889</v>
      </c>
      <c r="AM42" s="389" t="s">
        <v>163</v>
      </c>
      <c r="AN42" s="390"/>
      <c r="AO42" s="390"/>
      <c r="AP42" s="390"/>
      <c r="AQ42" s="390"/>
      <c r="AR42" s="127"/>
      <c r="AV42" s="18" t="s">
        <v>4</v>
      </c>
      <c r="AW42" s="129">
        <f>IF(($R$40=AV42)*AND($R$41&lt;&gt;""),VLOOKUP($R$41,'Barèmes police'!$AL$40:$AM$66,2),0)</f>
        <v>0</v>
      </c>
      <c r="AX42" s="129"/>
      <c r="AY42" s="129"/>
    </row>
    <row r="43" spans="1:58" ht="12.75" customHeight="1" x14ac:dyDescent="0.2">
      <c r="B43" s="476" t="s">
        <v>260</v>
      </c>
      <c r="C43" s="477"/>
      <c r="D43" s="478"/>
      <c r="E43" s="412">
        <f>SUM(AU8:AU38)</f>
        <v>0</v>
      </c>
      <c r="F43" s="413"/>
      <c r="G43" s="399">
        <f>SUM(AU8:AU38)*Configuration!H41</f>
        <v>0</v>
      </c>
      <c r="H43" s="399"/>
      <c r="J43" s="236" t="s">
        <v>217</v>
      </c>
      <c r="K43" s="237"/>
      <c r="L43" s="238"/>
      <c r="M43" s="239">
        <f>IF(MINUTE(SUM(V8:V38))&gt;=30,SUM(V8:V38)+(TIME(1,0,0))-TIME(0,MINUTE(SUM(V8:V38)),0),SUM(V8:V38)-TIME(0,MINUTE(SUM(V8:V38)),0))</f>
        <v>0</v>
      </c>
      <c r="N43" s="225" t="s">
        <v>190</v>
      </c>
      <c r="O43" s="240"/>
      <c r="P43" s="226"/>
      <c r="Q43" s="226"/>
      <c r="R43" s="232"/>
      <c r="S43" s="354">
        <f>IF($R$2="Oui",M43*AK44*24,0)</f>
        <v>0</v>
      </c>
      <c r="T43" s="355"/>
      <c r="U43" s="355"/>
      <c r="V43" s="233" t="s">
        <v>55</v>
      </c>
      <c r="W43" s="23"/>
      <c r="X43" s="241"/>
      <c r="Y43" s="23"/>
      <c r="Z43" s="377" t="s">
        <v>211</v>
      </c>
      <c r="AA43" s="378"/>
      <c r="AB43" s="358" t="s">
        <v>67</v>
      </c>
      <c r="AC43" s="359"/>
      <c r="AD43" s="359"/>
      <c r="AE43" s="121">
        <f>AE42*0.075</f>
        <v>2249.5833608999997</v>
      </c>
      <c r="AG43" s="358" t="s">
        <v>65</v>
      </c>
      <c r="AH43" s="359"/>
      <c r="AI43" s="359"/>
      <c r="AJ43" s="359"/>
      <c r="AK43" s="136">
        <f>(AK42*0.9645)*AE48</f>
        <v>9.3231635529859105</v>
      </c>
      <c r="AM43" s="391" t="str">
        <f>IF(Configuration!$H$30="Dagen","Aantal dagen beschikbaar:","Aantal uren beschikbaar:")</f>
        <v>Aantal uren beschikbaar:</v>
      </c>
      <c r="AN43" s="392"/>
      <c r="AO43" s="392"/>
      <c r="AP43" s="392"/>
      <c r="AQ43" s="393">
        <f>IF(Configuration!H30="Dagen",Configuration!H45,Configuration!H45)</f>
        <v>99999</v>
      </c>
      <c r="AR43" s="394"/>
      <c r="AV43" s="18" t="s">
        <v>9</v>
      </c>
      <c r="AW43" s="129">
        <f>IF(($R$40=AV43)*AND($R$41&lt;&gt;""),VLOOKUP($R$41,'Barèmes police'!$Q$40:$R$66,2),0)</f>
        <v>0</v>
      </c>
      <c r="AX43" s="129"/>
      <c r="AY43" s="129"/>
    </row>
    <row r="44" spans="1:58" ht="12.75" customHeight="1" x14ac:dyDescent="0.2">
      <c r="B44" s="476" t="s">
        <v>204</v>
      </c>
      <c r="C44" s="477"/>
      <c r="D44" s="478"/>
      <c r="E44" s="412">
        <f>SUM(AC8:AC38)/Configuration!H41</f>
        <v>0</v>
      </c>
      <c r="F44" s="413"/>
      <c r="G44" s="399">
        <f>SUM(AC8:AC38)</f>
        <v>0</v>
      </c>
      <c r="H44" s="399"/>
      <c r="J44" s="236" t="s">
        <v>216</v>
      </c>
      <c r="K44" s="237"/>
      <c r="L44" s="238"/>
      <c r="M44" s="239">
        <f>IF(MINUTE(SUM(W8:W38))&gt;=30,SUM(W8:W38)+(TIME(1,0,0))-TIME(0,MINUTE(SUM(W8:W38)),0),SUM(W8:W38)-TIME(0,MINUTE(SUM(W8:W38)),0))</f>
        <v>0</v>
      </c>
      <c r="N44" s="237" t="s">
        <v>190</v>
      </c>
      <c r="O44" s="225"/>
      <c r="P44" s="225"/>
      <c r="Q44" s="225"/>
      <c r="R44" s="233"/>
      <c r="S44" s="354">
        <f>IF($R$2="Oui",M44*AK45*24,0)</f>
        <v>0</v>
      </c>
      <c r="T44" s="355"/>
      <c r="U44" s="355"/>
      <c r="V44" s="233" t="s">
        <v>55</v>
      </c>
      <c r="W44" s="234"/>
      <c r="X44" s="235"/>
      <c r="Y44" s="23"/>
      <c r="Z44" s="379"/>
      <c r="AA44" s="380"/>
      <c r="AB44" s="358" t="s">
        <v>68</v>
      </c>
      <c r="AC44" s="359"/>
      <c r="AD44" s="359"/>
      <c r="AE44" s="121">
        <f>AE42*0.0355</f>
        <v>1064.8027908259996</v>
      </c>
      <c r="AG44" s="358" t="s">
        <v>77</v>
      </c>
      <c r="AH44" s="359"/>
      <c r="AI44" s="359"/>
      <c r="AJ44" s="359"/>
      <c r="AK44" s="136">
        <f>AK43*0.2</f>
        <v>1.8646327105971823</v>
      </c>
      <c r="AM44" s="391" t="str">
        <f>IF(Configuration!$H$30="Dagen","Opgenomen Congé Synd.dagen:","Opgenomen Congé Synd.uren:")</f>
        <v>Opgenomen Congé Synd.uren:</v>
      </c>
      <c r="AN44" s="392"/>
      <c r="AO44" s="392"/>
      <c r="AP44" s="392"/>
      <c r="AQ44" s="469">
        <f>IF(Configuration!$H$30="Dagen",SUM(AD8:AD38)/Configuration!H41,SUM(AD8:AD38))</f>
        <v>0</v>
      </c>
      <c r="AR44" s="470"/>
      <c r="AV44" s="18" t="s">
        <v>3</v>
      </c>
      <c r="AW44" s="129">
        <f>IF(($R$40=AV44)*AND($R$41&lt;&gt;""),VLOOKUP($R$41,'Barèmes police'!$AO$40:$AP$66,2),0)</f>
        <v>0</v>
      </c>
    </row>
    <row r="45" spans="1:58" ht="12.75" customHeight="1" x14ac:dyDescent="0.2">
      <c r="B45" s="409" t="s">
        <v>254</v>
      </c>
      <c r="C45" s="410"/>
      <c r="D45" s="411"/>
      <c r="E45" s="461">
        <f>E41+E42+E43-E44</f>
        <v>34</v>
      </c>
      <c r="F45" s="462"/>
      <c r="G45" s="400">
        <f>G41+G42+G43-G44</f>
        <v>10.766666666666666</v>
      </c>
      <c r="H45" s="401"/>
      <c r="J45" s="236" t="s">
        <v>218</v>
      </c>
      <c r="K45" s="237"/>
      <c r="L45" s="238"/>
      <c r="M45" s="239">
        <f>IF(MINUTE(SUM(X8:X38))&gt;=30,SUM(X8:X38)+(TIME(1,0,0))-TIME(0,MINUTE(SUM(X8:X38)),0),SUM(X8:X38)-TIME(0,MINUTE(SUM(X8:X38)),0))</f>
        <v>0</v>
      </c>
      <c r="N45" s="237" t="s">
        <v>190</v>
      </c>
      <c r="O45" s="225"/>
      <c r="P45" s="225"/>
      <c r="Q45" s="225"/>
      <c r="R45" s="233"/>
      <c r="S45" s="242"/>
      <c r="T45" s="242"/>
      <c r="U45" s="242"/>
      <c r="V45" s="243"/>
      <c r="W45" s="234">
        <f>IF($R$3="Oui",M45*AK51*24,0)</f>
        <v>0</v>
      </c>
      <c r="X45" s="235" t="s">
        <v>55</v>
      </c>
      <c r="Y45" s="23"/>
      <c r="Z45" s="381">
        <f>AE47</f>
        <v>0.40380000000000005</v>
      </c>
      <c r="AA45" s="382"/>
      <c r="AB45" s="348" t="s">
        <v>69</v>
      </c>
      <c r="AC45" s="349"/>
      <c r="AD45" s="349"/>
      <c r="AE45" s="132">
        <f>AE42-AE43-AE44</f>
        <v>26680.058660273993</v>
      </c>
      <c r="AG45" s="348" t="s">
        <v>78</v>
      </c>
      <c r="AH45" s="349"/>
      <c r="AI45" s="349"/>
      <c r="AJ45" s="349"/>
      <c r="AK45" s="132">
        <f>AK43*0.35</f>
        <v>3.2631072435450683</v>
      </c>
      <c r="AM45" s="375" t="str">
        <f>IF(Configuration!$H$30="Dagen","Resterend aantal dagen:","Resterend aantal uren:")</f>
        <v>Resterend aantal uren:</v>
      </c>
      <c r="AN45" s="376"/>
      <c r="AO45" s="376"/>
      <c r="AP45" s="376"/>
      <c r="AQ45" s="366">
        <f>AQ43-AQ44</f>
        <v>99999</v>
      </c>
      <c r="AR45" s="367"/>
      <c r="AV45" s="18" t="s">
        <v>1</v>
      </c>
      <c r="AW45" s="129">
        <f>IF(($R$40=AV45)*AND($R$41&lt;&gt;""),VLOOKUP($R$41,'Barèmes police'!$T$40:$U$69,2),0)</f>
        <v>0</v>
      </c>
    </row>
    <row r="46" spans="1:58" ht="12.75" customHeight="1" x14ac:dyDescent="0.2">
      <c r="B46" s="23"/>
      <c r="C46" s="23"/>
      <c r="D46" s="23"/>
      <c r="E46" s="23"/>
      <c r="F46" s="23"/>
      <c r="G46" s="23"/>
      <c r="J46" s="236" t="s">
        <v>219</v>
      </c>
      <c r="K46" s="237"/>
      <c r="L46" s="238"/>
      <c r="M46" s="244">
        <f>COUNTIF($Q$8:$Q$37,"1")</f>
        <v>0</v>
      </c>
      <c r="N46" s="225"/>
      <c r="O46" s="362" t="s">
        <v>223</v>
      </c>
      <c r="P46" s="363"/>
      <c r="Q46" s="363"/>
      <c r="R46" s="245">
        <f>COUNTIF($Q$8:$Q$37,"2")</f>
        <v>0</v>
      </c>
      <c r="S46" s="354">
        <f>IF($R$2="Oui",(M46*AE51*Z41+(R46*Z41*2.48)),0)</f>
        <v>0</v>
      </c>
      <c r="T46" s="355"/>
      <c r="U46" s="355"/>
      <c r="V46" s="233" t="s">
        <v>55</v>
      </c>
      <c r="W46" s="234">
        <f>IF($R$3="Oui",(M46*AE51*Z41+(R46*AE51*6.2)),0)</f>
        <v>0</v>
      </c>
      <c r="X46" s="235" t="s">
        <v>55</v>
      </c>
      <c r="Y46" s="23"/>
      <c r="Z46" s="218"/>
      <c r="AA46" s="218"/>
      <c r="AV46" s="18" t="s">
        <v>0</v>
      </c>
      <c r="AW46" s="129">
        <f>IF(($R$40=AV46)*AND($R$41&lt;&gt;""),VLOOKUP($R$41,'Barèmes police'!$W$40:$X$69,2),0)</f>
        <v>0</v>
      </c>
    </row>
    <row r="47" spans="1:58" ht="12.75" customHeight="1" x14ac:dyDescent="0.2">
      <c r="B47" s="368" t="s">
        <v>206</v>
      </c>
      <c r="C47" s="369"/>
      <c r="D47" s="369"/>
      <c r="E47" s="369"/>
      <c r="F47" s="370" t="s">
        <v>180</v>
      </c>
      <c r="G47" s="371"/>
      <c r="J47" s="236" t="s">
        <v>220</v>
      </c>
      <c r="K47" s="237"/>
      <c r="L47" s="238"/>
      <c r="M47" s="244">
        <f>COUNTIF($R$8:$R$37,"1")</f>
        <v>0</v>
      </c>
      <c r="N47" s="225"/>
      <c r="O47" s="362" t="s">
        <v>224</v>
      </c>
      <c r="P47" s="363"/>
      <c r="Q47" s="363"/>
      <c r="R47" s="245">
        <f>COUNTIF($R$8:$R$37,"2")</f>
        <v>0</v>
      </c>
      <c r="S47" s="354">
        <f>IF($R$2="Oui",(M47*AE52*Z41+(R47*Z41*6.2)),0)</f>
        <v>0</v>
      </c>
      <c r="T47" s="355"/>
      <c r="U47" s="355"/>
      <c r="V47" s="233" t="s">
        <v>55</v>
      </c>
      <c r="W47" s="234">
        <f>IF($R$3="Oui",(M47*AE52*Z41+(R47*AE52*6.2)),0)</f>
        <v>0</v>
      </c>
      <c r="X47" s="235" t="s">
        <v>55</v>
      </c>
      <c r="Y47" s="23"/>
      <c r="Z47" s="383" t="s">
        <v>258</v>
      </c>
      <c r="AA47" s="384"/>
      <c r="AB47" s="352" t="s">
        <v>70</v>
      </c>
      <c r="AC47" s="353"/>
      <c r="AD47" s="353"/>
      <c r="AE47" s="134">
        <f>VLOOKUP(AE45,Systeemgegevens!C3:E14,3)/100</f>
        <v>0.40380000000000005</v>
      </c>
      <c r="AG47" s="352" t="s">
        <v>72</v>
      </c>
      <c r="AH47" s="353"/>
      <c r="AI47" s="353"/>
      <c r="AJ47" s="353"/>
      <c r="AK47" s="133">
        <f>X41*1.2434/1850</f>
        <v>8.5597067427027032</v>
      </c>
      <c r="AV47" s="18" t="s">
        <v>61</v>
      </c>
      <c r="AW47" s="129">
        <f>IF(($R$40=AV47)*AND($R$41&lt;&gt;""),VLOOKUP($R$41,'Barèmes police'!$BM$4:$BN$39,2),0)</f>
        <v>0</v>
      </c>
    </row>
    <row r="48" spans="1:58" s="141" customFormat="1" ht="12.75" customHeight="1" x14ac:dyDescent="0.2">
      <c r="A48" s="17"/>
      <c r="B48" s="17"/>
      <c r="C48" s="17"/>
      <c r="D48" s="17"/>
      <c r="E48" s="17"/>
      <c r="F48" s="17"/>
      <c r="G48" s="17"/>
      <c r="H48" s="17"/>
      <c r="I48" s="17"/>
      <c r="J48" s="236" t="s">
        <v>221</v>
      </c>
      <c r="K48" s="237"/>
      <c r="L48" s="238"/>
      <c r="M48" s="244">
        <f>COUNTIF($S$8:$S$37, "1")</f>
        <v>0</v>
      </c>
      <c r="N48" s="225"/>
      <c r="O48" s="362" t="s">
        <v>225</v>
      </c>
      <c r="P48" s="363"/>
      <c r="Q48" s="363"/>
      <c r="R48" s="245">
        <f>COUNTIF($S$8:$S$37, "2")</f>
        <v>0</v>
      </c>
      <c r="S48" s="354">
        <f>IF($R$2="Oui",(M48*AE53*Z41+(R48*Z41*6.2)),0)</f>
        <v>0</v>
      </c>
      <c r="T48" s="355"/>
      <c r="U48" s="355"/>
      <c r="V48" s="233" t="s">
        <v>55</v>
      </c>
      <c r="W48" s="234">
        <f>IF($R$3="Oui",(M48*AE53*Z41+(R48*AE53*6.2)),0)</f>
        <v>0</v>
      </c>
      <c r="X48" s="235" t="s">
        <v>55</v>
      </c>
      <c r="Y48" s="23"/>
      <c r="Z48" s="364">
        <v>0.23</v>
      </c>
      <c r="AA48" s="365"/>
      <c r="AB48" s="348" t="s">
        <v>71</v>
      </c>
      <c r="AC48" s="349"/>
      <c r="AD48" s="349"/>
      <c r="AE48" s="135">
        <f>1-AE47</f>
        <v>0.59619999999999995</v>
      </c>
      <c r="AG48" s="358" t="s">
        <v>73</v>
      </c>
      <c r="AH48" s="359"/>
      <c r="AI48" s="359"/>
      <c r="AJ48" s="359"/>
      <c r="AK48" s="121">
        <f>AK47*0.9645*AE48*1.45</f>
        <v>7.1370886606880939</v>
      </c>
      <c r="AV48" s="18" t="s">
        <v>263</v>
      </c>
      <c r="AW48" s="218">
        <f>IF(($R$40=AV48)*AND($R$41&lt;&gt;""),VLOOKUP($R$41,'Barèmes police'!$AX$40:$AY$70,2),0)</f>
        <v>0</v>
      </c>
      <c r="AZ48" s="17"/>
      <c r="BA48" s="17"/>
      <c r="BB48" s="17"/>
      <c r="BC48" s="17"/>
      <c r="BD48" s="17"/>
      <c r="BE48" s="17"/>
      <c r="BF48" s="17"/>
    </row>
    <row r="49" spans="1:58" s="141" customFormat="1" ht="12.75" customHeight="1" x14ac:dyDescent="0.2">
      <c r="A49" s="17"/>
      <c r="B49" s="372" t="s">
        <v>207</v>
      </c>
      <c r="C49" s="373"/>
      <c r="D49" s="373"/>
      <c r="E49" s="373"/>
      <c r="F49" s="373"/>
      <c r="G49" s="374"/>
      <c r="H49" s="17"/>
      <c r="I49" s="17"/>
      <c r="J49" s="236" t="s">
        <v>222</v>
      </c>
      <c r="K49" s="237"/>
      <c r="L49" s="238"/>
      <c r="M49" s="244">
        <f>COUNTIF($T$8:$T$37,"1")</f>
        <v>0</v>
      </c>
      <c r="N49" s="225"/>
      <c r="O49" s="362" t="s">
        <v>226</v>
      </c>
      <c r="P49" s="363"/>
      <c r="Q49" s="363"/>
      <c r="R49" s="245">
        <f>COUNTIF($T$8:$T$37,"2")</f>
        <v>0</v>
      </c>
      <c r="S49" s="354">
        <f>IF($R$2="Oui",(M49*AE54*Z41+(R49*Z41*3.48)),0)</f>
        <v>0</v>
      </c>
      <c r="T49" s="355"/>
      <c r="U49" s="355"/>
      <c r="V49" s="233" t="s">
        <v>55</v>
      </c>
      <c r="W49" s="234">
        <f>IF($R$3="Oui",(M49*AE54*Z41+(R49*AE54*6.2)),0)</f>
        <v>0</v>
      </c>
      <c r="X49" s="235" t="s">
        <v>55</v>
      </c>
      <c r="Y49" s="23"/>
      <c r="Z49" s="246"/>
      <c r="AA49" s="246"/>
      <c r="AB49" s="148"/>
      <c r="AC49" s="148"/>
      <c r="AD49" s="148"/>
      <c r="AE49" s="153"/>
      <c r="AG49" s="147"/>
      <c r="AH49" s="148"/>
      <c r="AI49" s="148"/>
      <c r="AJ49" s="148"/>
      <c r="AK49" s="121"/>
      <c r="AV49" s="18" t="s">
        <v>264</v>
      </c>
      <c r="AW49" s="218">
        <f>IF(($R$40=AV49)*AND($R$41&lt;&gt;""),VLOOKUP($R$41,'Barèmes police'!$BA$40:$BB$70,2),0)</f>
        <v>0</v>
      </c>
      <c r="AZ49" s="17"/>
      <c r="BA49" s="17"/>
      <c r="BB49" s="17"/>
      <c r="BC49" s="17"/>
      <c r="BD49" s="17"/>
      <c r="BE49" s="17"/>
      <c r="BF49" s="17"/>
    </row>
    <row r="50" spans="1:58" s="141" customFormat="1" ht="12.75" customHeight="1" x14ac:dyDescent="0.2">
      <c r="A50" s="17"/>
      <c r="B50" s="395" t="s">
        <v>208</v>
      </c>
      <c r="C50" s="396"/>
      <c r="D50" s="396"/>
      <c r="E50" s="396"/>
      <c r="F50" s="151"/>
      <c r="G50" s="152"/>
      <c r="H50" s="17"/>
      <c r="I50" s="17"/>
      <c r="J50" s="236" t="s">
        <v>227</v>
      </c>
      <c r="K50" s="237"/>
      <c r="L50" s="238"/>
      <c r="M50" s="239">
        <f>IF(P37-F51&gt;=1/49,IF(AND(O37="+",F47="Oui"),IF(MINUTE(P37-F51)&gt;=30,P37-F51+(TIME(1,0,0))-TIME(0,MINUTE(P37-F51),0),P37-F51-TIME(0,MINUTE(P37-F51),0)),0),0)</f>
        <v>0</v>
      </c>
      <c r="N50" s="225" t="s">
        <v>190</v>
      </c>
      <c r="O50" s="360" t="s">
        <v>253</v>
      </c>
      <c r="P50" s="360"/>
      <c r="Q50" s="360"/>
      <c r="R50" s="361"/>
      <c r="S50" s="354">
        <f>IF($R$2="Oui",M50*AK43*24,0)</f>
        <v>0</v>
      </c>
      <c r="T50" s="355"/>
      <c r="U50" s="355"/>
      <c r="V50" s="233" t="s">
        <v>55</v>
      </c>
      <c r="W50" s="234">
        <f>IF($R$3="Oui",M50*AK50*24,0)</f>
        <v>0</v>
      </c>
      <c r="X50" s="235" t="s">
        <v>55</v>
      </c>
      <c r="Y50" s="23"/>
      <c r="Z50" s="246"/>
      <c r="AA50" s="246"/>
      <c r="AG50" s="358" t="s">
        <v>74</v>
      </c>
      <c r="AH50" s="359"/>
      <c r="AI50" s="359"/>
      <c r="AJ50" s="359"/>
      <c r="AK50" s="121">
        <f>(W41*1.2434/1850)*0.9645*AE48</f>
        <v>5.1824281750374874</v>
      </c>
      <c r="AV50" s="18" t="s">
        <v>265</v>
      </c>
      <c r="AW50" s="218">
        <f>IF(($R$40=AV50)*AND($R$41&lt;&gt;""),VLOOKUP($R$41,'Barèmes police'!$BD$40:$BE$70,2),0)</f>
        <v>0</v>
      </c>
      <c r="AZ50" s="17"/>
      <c r="BA50" s="17"/>
      <c r="BB50" s="17"/>
      <c r="BC50" s="17"/>
      <c r="BD50" s="17"/>
      <c r="BE50" s="17"/>
      <c r="BF50" s="17"/>
    </row>
    <row r="51" spans="1:58" s="141" customFormat="1" ht="12.75" customHeight="1" x14ac:dyDescent="0.2">
      <c r="A51" s="17"/>
      <c r="B51" s="385" t="s">
        <v>209</v>
      </c>
      <c r="C51" s="386"/>
      <c r="D51" s="386"/>
      <c r="E51" s="386"/>
      <c r="F51" s="356">
        <v>0</v>
      </c>
      <c r="G51" s="357"/>
      <c r="H51" s="17"/>
      <c r="I51" s="17"/>
      <c r="J51" s="236" t="s">
        <v>228</v>
      </c>
      <c r="K51" s="237"/>
      <c r="L51" s="238"/>
      <c r="M51" s="247">
        <f>SUM(AT8:AT38)</f>
        <v>0</v>
      </c>
      <c r="N51" s="225" t="s">
        <v>214</v>
      </c>
      <c r="O51" s="360"/>
      <c r="P51" s="360"/>
      <c r="Q51" s="360"/>
      <c r="R51" s="361"/>
      <c r="S51" s="354">
        <f>IF($R$2="Oui",M51*6.7*Z41,0)</f>
        <v>0</v>
      </c>
      <c r="T51" s="355"/>
      <c r="U51" s="355"/>
      <c r="V51" s="233" t="s">
        <v>55</v>
      </c>
      <c r="W51" s="234">
        <f>IF($R$3="Oui",M51*6.7*Z41,0)</f>
        <v>0</v>
      </c>
      <c r="X51" s="235" t="s">
        <v>55</v>
      </c>
      <c r="Y51" s="23"/>
      <c r="Z51" s="246"/>
      <c r="AA51" s="246"/>
      <c r="AB51" s="352" t="s">
        <v>79</v>
      </c>
      <c r="AC51" s="353"/>
      <c r="AD51" s="353"/>
      <c r="AE51" s="133">
        <v>1.24</v>
      </c>
      <c r="AG51" s="348" t="s">
        <v>76</v>
      </c>
      <c r="AH51" s="349"/>
      <c r="AI51" s="349"/>
      <c r="AJ51" s="349"/>
      <c r="AK51" s="131">
        <f>AK47*0.325*0.9645*AE48</f>
        <v>1.5996922860162968</v>
      </c>
      <c r="AV51" s="18" t="s">
        <v>266</v>
      </c>
      <c r="AW51" s="218">
        <f>IF(($R$40=AV51)*AND($R$41&lt;&gt;""),VLOOKUP($R$41,'Barèmes police'!$BG$40:$BH$70,2),0)</f>
        <v>0</v>
      </c>
      <c r="AZ51" s="17"/>
      <c r="BA51" s="17"/>
      <c r="BB51" s="17"/>
      <c r="BC51" s="17"/>
      <c r="BD51" s="17"/>
      <c r="BE51" s="17"/>
      <c r="BF51" s="17"/>
    </row>
    <row r="52" spans="1:58" s="141" customFormat="1" ht="12.75" customHeight="1" x14ac:dyDescent="0.2">
      <c r="A52" s="17"/>
      <c r="B52" s="387" t="s">
        <v>210</v>
      </c>
      <c r="C52" s="388"/>
      <c r="D52" s="388"/>
      <c r="E52" s="388"/>
      <c r="F52" s="350">
        <v>0</v>
      </c>
      <c r="G52" s="351"/>
      <c r="H52" s="17"/>
      <c r="I52" s="17"/>
      <c r="J52" s="236" t="s">
        <v>229</v>
      </c>
      <c r="K52" s="237"/>
      <c r="L52" s="238"/>
      <c r="M52" s="244">
        <f>SUM(Y8:Y38)</f>
        <v>0</v>
      </c>
      <c r="N52" s="237" t="s">
        <v>56</v>
      </c>
      <c r="O52" s="248"/>
      <c r="P52" s="248"/>
      <c r="Q52" s="248"/>
      <c r="R52" s="249"/>
      <c r="S52" s="354">
        <f>IF($R$2="Oui",M52*Z48,0)</f>
        <v>0</v>
      </c>
      <c r="T52" s="355"/>
      <c r="U52" s="355"/>
      <c r="V52" s="233" t="s">
        <v>55</v>
      </c>
      <c r="W52" s="234">
        <f>IF($R$3="Oui",M52*Z48,0)</f>
        <v>0</v>
      </c>
      <c r="X52" s="235" t="s">
        <v>55</v>
      </c>
      <c r="Y52" s="23"/>
      <c r="Z52" s="246"/>
      <c r="AA52" s="246"/>
      <c r="AB52" s="358" t="s">
        <v>80</v>
      </c>
      <c r="AC52" s="359"/>
      <c r="AD52" s="359"/>
      <c r="AE52" s="121">
        <v>2.48</v>
      </c>
      <c r="AZ52" s="17"/>
      <c r="BA52" s="17"/>
      <c r="BB52" s="17"/>
      <c r="BC52" s="17"/>
      <c r="BD52" s="17"/>
      <c r="BE52" s="17"/>
      <c r="BF52" s="17"/>
    </row>
    <row r="53" spans="1:58" s="141" customFormat="1" ht="12.75" customHeight="1" x14ac:dyDescent="0.2">
      <c r="A53" s="17"/>
      <c r="B53" s="19"/>
      <c r="C53" s="17"/>
      <c r="D53" s="17"/>
      <c r="E53" s="17"/>
      <c r="F53" s="37"/>
      <c r="G53" s="37"/>
      <c r="H53" s="17"/>
      <c r="I53" s="17"/>
      <c r="J53" s="236" t="s">
        <v>244</v>
      </c>
      <c r="K53" s="237"/>
      <c r="L53" s="238"/>
      <c r="M53" s="239">
        <f>IF(MINUTE(SUM(Z8:Z38))&gt;=30,SUM(Z8:Z38)+(TIME(1,0,0))-TIME(0,MINUTE(SUM(Z8:Z38)),0),SUM(Z8:Z38)-TIME(0,MINUTE(SUM(Z8:Z38)),0))</f>
        <v>0</v>
      </c>
      <c r="N53" s="237" t="s">
        <v>190</v>
      </c>
      <c r="O53" s="248"/>
      <c r="P53" s="248"/>
      <c r="Q53" s="248"/>
      <c r="R53" s="249"/>
      <c r="S53" s="354">
        <f>IF($R$2="Oui",M53*AK53*24,0)</f>
        <v>0</v>
      </c>
      <c r="T53" s="355"/>
      <c r="U53" s="355"/>
      <c r="V53" s="233" t="s">
        <v>55</v>
      </c>
      <c r="W53" s="234">
        <f>IF($R$3="Oui",M53*AK53*24,0)</f>
        <v>0</v>
      </c>
      <c r="X53" s="235" t="s">
        <v>55</v>
      </c>
      <c r="Y53" s="23"/>
      <c r="Z53" s="246"/>
      <c r="AA53" s="246"/>
      <c r="AB53" s="358" t="s">
        <v>81</v>
      </c>
      <c r="AC53" s="359"/>
      <c r="AD53" s="359"/>
      <c r="AE53" s="121">
        <v>2.48</v>
      </c>
      <c r="AG53" s="352" t="s">
        <v>83</v>
      </c>
      <c r="AH53" s="353"/>
      <c r="AI53" s="353"/>
      <c r="AJ53" s="353"/>
      <c r="AK53" s="130">
        <f>AK43/24</f>
        <v>0.38846514804107962</v>
      </c>
      <c r="AZ53" s="17"/>
      <c r="BA53" s="17"/>
      <c r="BB53" s="17"/>
      <c r="BC53" s="17"/>
      <c r="BD53" s="17"/>
      <c r="BE53" s="17"/>
      <c r="BF53" s="17"/>
    </row>
    <row r="54" spans="1:58" s="141" customFormat="1" ht="12.75" customHeight="1" x14ac:dyDescent="0.2">
      <c r="A54" s="17"/>
      <c r="B54" s="19"/>
      <c r="C54" s="17"/>
      <c r="D54" s="17"/>
      <c r="E54" s="17"/>
      <c r="F54" s="37"/>
      <c r="G54" s="37"/>
      <c r="H54" s="17"/>
      <c r="I54" s="17"/>
      <c r="J54" s="236" t="s">
        <v>230</v>
      </c>
      <c r="K54" s="237"/>
      <c r="L54" s="238"/>
      <c r="M54" s="239">
        <f>IF(MINUTE(SUM(AA8:AA38))&gt;=30,SUM(AA8:AA38)+(TIME(1,0,0))-TIME(0,MINUTE(SUM(AA8:AA38)),0),SUM(AA8:AA38)-TIME(0,MINUTE(SUM(AA8:AA38)),0))</f>
        <v>0</v>
      </c>
      <c r="N54" s="237" t="s">
        <v>190</v>
      </c>
      <c r="O54" s="248"/>
      <c r="P54" s="248"/>
      <c r="Q54" s="248"/>
      <c r="R54" s="249"/>
      <c r="S54" s="354">
        <f>IF($R$2="Oui",M54*AK54*24,0)</f>
        <v>0</v>
      </c>
      <c r="T54" s="355"/>
      <c r="U54" s="355"/>
      <c r="V54" s="233" t="s">
        <v>55</v>
      </c>
      <c r="W54" s="234">
        <f>IF($R$3="Oui",M54*AK54*24,0)</f>
        <v>0</v>
      </c>
      <c r="X54" s="235" t="s">
        <v>55</v>
      </c>
      <c r="Y54" s="23"/>
      <c r="Z54" s="246"/>
      <c r="AA54" s="246"/>
      <c r="AB54" s="348" t="s">
        <v>82</v>
      </c>
      <c r="AC54" s="349"/>
      <c r="AD54" s="349"/>
      <c r="AE54" s="131">
        <v>1.74</v>
      </c>
      <c r="AG54" s="348" t="s">
        <v>84</v>
      </c>
      <c r="AH54" s="349"/>
      <c r="AI54" s="349"/>
      <c r="AJ54" s="349"/>
      <c r="AK54" s="132">
        <f>AK43/15</f>
        <v>0.62154423686572735</v>
      </c>
      <c r="AZ54" s="17"/>
      <c r="BA54" s="17"/>
      <c r="BB54" s="17"/>
      <c r="BC54" s="17"/>
      <c r="BD54" s="17"/>
      <c r="BE54" s="17"/>
      <c r="BF54" s="17"/>
    </row>
    <row r="55" spans="1:58" s="141" customFormat="1" ht="12.75" customHeight="1" x14ac:dyDescent="0.2">
      <c r="A55" s="17"/>
      <c r="B55" s="19"/>
      <c r="C55" s="17"/>
      <c r="D55" s="17"/>
      <c r="E55" s="17"/>
      <c r="F55" s="37"/>
      <c r="G55" s="37"/>
      <c r="H55" s="17"/>
      <c r="I55" s="17"/>
      <c r="J55" s="223" t="s">
        <v>57</v>
      </c>
      <c r="K55" s="224"/>
      <c r="L55" s="250"/>
      <c r="M55" s="251">
        <f>SUM(AS8:AS38)</f>
        <v>0</v>
      </c>
      <c r="N55" s="225" t="s">
        <v>214</v>
      </c>
      <c r="O55" s="252"/>
      <c r="P55" s="252"/>
      <c r="Q55" s="252"/>
      <c r="R55" s="253"/>
      <c r="S55" s="471">
        <f>IF($R$2="Oui",M55*2.81*Z41*AE48,0)</f>
        <v>0</v>
      </c>
      <c r="T55" s="472"/>
      <c r="U55" s="472"/>
      <c r="V55" s="233" t="s">
        <v>55</v>
      </c>
      <c r="W55" s="234">
        <f>IF($R$3="Oui",M55*2.81*Z41*AE48,0)</f>
        <v>0</v>
      </c>
      <c r="X55" s="235" t="s">
        <v>55</v>
      </c>
      <c r="Y55" s="23"/>
      <c r="Z55" s="246"/>
      <c r="AA55" s="246"/>
      <c r="AZ55" s="17"/>
      <c r="BA55" s="17"/>
      <c r="BB55" s="17"/>
      <c r="BC55" s="17"/>
      <c r="BD55" s="17"/>
      <c r="BE55" s="17"/>
      <c r="BF55" s="17"/>
    </row>
    <row r="56" spans="1:58" s="141" customFormat="1" ht="12.75" customHeight="1" x14ac:dyDescent="0.2">
      <c r="A56" s="17"/>
      <c r="B56" s="19"/>
      <c r="C56" s="17"/>
      <c r="D56" s="17"/>
      <c r="E56" s="17"/>
      <c r="F56" s="37"/>
      <c r="G56" s="37"/>
      <c r="H56" s="17"/>
      <c r="I56" s="17"/>
      <c r="J56" s="254"/>
      <c r="K56" s="254"/>
      <c r="L56" s="24"/>
      <c r="M56" s="255"/>
      <c r="N56" s="256"/>
      <c r="O56" s="257"/>
      <c r="P56" s="23"/>
      <c r="Q56" s="258"/>
      <c r="R56" s="259" t="s">
        <v>262</v>
      </c>
      <c r="S56" s="473">
        <f>IF($R$2="Oui",SUM(S42:U55),0)</f>
        <v>0</v>
      </c>
      <c r="T56" s="474"/>
      <c r="U56" s="474"/>
      <c r="V56" s="260" t="s">
        <v>55</v>
      </c>
      <c r="W56" s="261">
        <f>IF($R$3="Oui",SUM(W42:W55),0)</f>
        <v>0</v>
      </c>
      <c r="X56" s="262" t="s">
        <v>55</v>
      </c>
      <c r="Y56" s="23"/>
      <c r="Z56" s="246"/>
      <c r="AA56" s="246"/>
      <c r="AZ56" s="17"/>
      <c r="BA56" s="17"/>
      <c r="BB56" s="17"/>
      <c r="BC56" s="17"/>
      <c r="BD56" s="17"/>
      <c r="BE56" s="17"/>
      <c r="BF56" s="17"/>
    </row>
    <row r="57" spans="1:58" s="141" customFormat="1" ht="12.75" customHeight="1" x14ac:dyDescent="0.2">
      <c r="A57" s="17"/>
      <c r="B57" s="19"/>
      <c r="C57" s="17"/>
      <c r="D57" s="17"/>
      <c r="E57" s="17"/>
      <c r="F57" s="37"/>
      <c r="G57" s="37"/>
      <c r="H57" s="17"/>
      <c r="I57" s="17"/>
      <c r="J57" s="17"/>
      <c r="K57" s="17"/>
      <c r="L57" s="19"/>
      <c r="M57" s="19"/>
      <c r="N57" s="18"/>
      <c r="O57" s="18"/>
      <c r="P57" s="17"/>
      <c r="Q57" s="17"/>
      <c r="R57" s="17"/>
      <c r="S57" s="17"/>
      <c r="T57" s="17"/>
      <c r="U57" s="17"/>
      <c r="V57" s="17"/>
      <c r="W57" s="17"/>
      <c r="X57" s="17"/>
      <c r="Y57" s="17"/>
      <c r="AB57" s="448" t="s">
        <v>164</v>
      </c>
      <c r="AC57" s="449"/>
      <c r="AD57" s="450"/>
      <c r="AZ57" s="17"/>
      <c r="BA57" s="17"/>
      <c r="BB57" s="17"/>
      <c r="BC57" s="17"/>
      <c r="BD57" s="17"/>
      <c r="BE57" s="17"/>
      <c r="BF57" s="17"/>
    </row>
    <row r="58" spans="1:58" s="141" customFormat="1" ht="12.75" customHeight="1" x14ac:dyDescent="0.2">
      <c r="A58" s="17"/>
      <c r="B58" s="19"/>
      <c r="C58" s="17"/>
      <c r="D58" s="17"/>
      <c r="E58" s="17"/>
      <c r="F58" s="37"/>
      <c r="G58" s="37"/>
      <c r="H58" s="17"/>
      <c r="I58" s="17"/>
      <c r="J58" s="17"/>
      <c r="K58" s="17"/>
      <c r="L58" s="19"/>
      <c r="M58" s="19"/>
      <c r="N58" s="18"/>
      <c r="O58" s="18"/>
      <c r="P58" s="17"/>
      <c r="Q58" s="17"/>
      <c r="R58" s="17"/>
      <c r="S58" s="17"/>
      <c r="T58" s="17"/>
      <c r="U58" s="17"/>
      <c r="V58" s="17"/>
      <c r="W58" s="17"/>
      <c r="X58" s="17"/>
      <c r="AB58" s="451">
        <f>Configuration!$H$30</f>
        <v>0</v>
      </c>
      <c r="AC58" s="452"/>
      <c r="AD58" s="453"/>
      <c r="AZ58" s="17"/>
      <c r="BA58" s="17"/>
      <c r="BB58" s="17"/>
      <c r="BC58" s="17"/>
      <c r="BD58" s="17"/>
      <c r="BE58" s="17"/>
      <c r="BF58" s="17"/>
    </row>
    <row r="70" spans="48:49" ht="12.75" customHeight="1" x14ac:dyDescent="0.2">
      <c r="AV70" s="141" t="s">
        <v>270</v>
      </c>
      <c r="AW70" s="290">
        <f>IF(($R$40=AV70)*AND($R$41&lt;&gt;""),VLOOKUP($R$41,'Barèmes CALOG'!$B$4:$C$34,2),0)</f>
        <v>0</v>
      </c>
    </row>
    <row r="71" spans="48:49" ht="12.75" customHeight="1" x14ac:dyDescent="0.2">
      <c r="AV71" s="141" t="s">
        <v>271</v>
      </c>
      <c r="AW71" s="290">
        <f>IF(($R$40=AV71)*AND($R$41&lt;&gt;""),VLOOKUP($R$41,'Barèmes CALOG'!$E$4:$F$34,2),0)</f>
        <v>0</v>
      </c>
    </row>
    <row r="72" spans="48:49" ht="12.75" customHeight="1" x14ac:dyDescent="0.2">
      <c r="AV72" s="141" t="s">
        <v>272</v>
      </c>
      <c r="AW72" s="290">
        <f>IF(($R$40=AV72)*AND($R$41&lt;&gt;""),VLOOKUP($R$41,'Barèmes CALOG'!$H$4:$I$34,2),0)</f>
        <v>0</v>
      </c>
    </row>
    <row r="73" spans="48:49" ht="12.75" customHeight="1" x14ac:dyDescent="0.2">
      <c r="AV73" s="141" t="s">
        <v>273</v>
      </c>
      <c r="AW73" s="290">
        <f>IF(($R$40=AV73)*AND($R$41&lt;&gt;""),VLOOKUP($R$41,'Barèmes CALOG'!$K$4:$L$34,2),0)</f>
        <v>0</v>
      </c>
    </row>
    <row r="74" spans="48:49" ht="12.75" customHeight="1" x14ac:dyDescent="0.2">
      <c r="AV74" s="141" t="s">
        <v>274</v>
      </c>
      <c r="AW74" s="290">
        <f>IF(($R$40=AV74)*AND($R$41&lt;&gt;""),VLOOKUP($R$41,'Barèmes CALOG'!$N$4:$O$34,2),0)</f>
        <v>0</v>
      </c>
    </row>
    <row r="75" spans="48:49" ht="12.75" customHeight="1" x14ac:dyDescent="0.2">
      <c r="AV75" s="141" t="s">
        <v>275</v>
      </c>
      <c r="AW75" s="290">
        <f>IF(($R$40=AV75)*AND($R$41&lt;&gt;""),VLOOKUP($R$41,'Barèmes CALOG'!$Q$4:$R$34,2),0)</f>
        <v>0</v>
      </c>
    </row>
    <row r="76" spans="48:49" ht="12.75" customHeight="1" x14ac:dyDescent="0.2">
      <c r="AV76" s="141" t="s">
        <v>276</v>
      </c>
      <c r="AW76" s="290">
        <f>IF(($R$40=AV76)*AND($R$41&lt;&gt;""),VLOOKUP($R$41,'Barèmes CALOG'!$T$4:$U$34,2),0)</f>
        <v>0</v>
      </c>
    </row>
    <row r="77" spans="48:49" ht="12.75" customHeight="1" x14ac:dyDescent="0.2">
      <c r="AV77" s="141" t="s">
        <v>277</v>
      </c>
      <c r="AW77" s="290">
        <f>IF(($R$40=AV77)*AND($R$41&lt;&gt;""),VLOOKUP($R$41,'Barèmes CALOG'!$W$4:$X$34,2),0)</f>
        <v>0</v>
      </c>
    </row>
    <row r="78" spans="48:49" ht="12.75" customHeight="1" x14ac:dyDescent="0.2">
      <c r="AV78" s="141" t="s">
        <v>278</v>
      </c>
      <c r="AW78" s="290">
        <f>IF(($R$40=AV78)*AND($R$41&lt;&gt;""),VLOOKUP($R$41,'Barèmes CALOG'!$Z$4:$AA$34,2),0)</f>
        <v>0</v>
      </c>
    </row>
    <row r="79" spans="48:49" ht="12.75" customHeight="1" x14ac:dyDescent="0.2">
      <c r="AV79" s="141" t="s">
        <v>279</v>
      </c>
      <c r="AW79" s="290">
        <f>IF(($R$40=AV79)*AND($R$41&lt;&gt;""),VLOOKUP($R$41,'Barèmes CALOG'!$AC$4:$AD$34,2),0)</f>
        <v>0</v>
      </c>
    </row>
    <row r="80" spans="48:49" ht="12.75" customHeight="1" x14ac:dyDescent="0.2">
      <c r="AV80" s="141" t="s">
        <v>280</v>
      </c>
      <c r="AW80" s="290">
        <f>IF(($R$40=AV80)*AND($R$41&lt;&gt;""),VLOOKUP($R$41,'Barèmes CALOG'!$AF$4:$AG$34,2),0)</f>
        <v>0</v>
      </c>
    </row>
    <row r="81" spans="48:49" ht="12.75" customHeight="1" x14ac:dyDescent="0.2">
      <c r="AV81" s="141" t="s">
        <v>281</v>
      </c>
      <c r="AW81" s="290">
        <f>IF(($R$40=AV81)*AND($R$41&lt;&gt;""),VLOOKUP($R$41,'Barèmes CALOG'!$AI$4:$AJ$34,2),0)</f>
        <v>0</v>
      </c>
    </row>
    <row r="82" spans="48:49" ht="12.75" customHeight="1" x14ac:dyDescent="0.2">
      <c r="AV82" s="141" t="s">
        <v>282</v>
      </c>
      <c r="AW82" s="290">
        <f>IF(($R$40=AV82)*AND($R$41&lt;&gt;""),VLOOKUP($R$41,'Barèmes CALOG'!$AL$4:$AM$34,2),0)</f>
        <v>0</v>
      </c>
    </row>
    <row r="83" spans="48:49" ht="12.75" customHeight="1" x14ac:dyDescent="0.2">
      <c r="AV83" s="141" t="s">
        <v>283</v>
      </c>
      <c r="AW83" s="290">
        <f>IF(($R$40=AV83)*AND($R$41&lt;&gt;""),VLOOKUP($R$41,'Barèmes CALOG'!$AO$4:$AP$34,2),0)</f>
        <v>0</v>
      </c>
    </row>
    <row r="84" spans="48:49" ht="12.75" customHeight="1" x14ac:dyDescent="0.2">
      <c r="AV84" s="141" t="s">
        <v>284</v>
      </c>
      <c r="AW84" s="290">
        <f>IF(($R$40=AV84)*AND($R$41&lt;&gt;""),VLOOKUP($R$41,'Barèmes CALOG'!$AR$4:$AS$34,2),0)</f>
        <v>0</v>
      </c>
    </row>
    <row r="85" spans="48:49" ht="12.75" customHeight="1" x14ac:dyDescent="0.2">
      <c r="AV85" s="141" t="s">
        <v>285</v>
      </c>
      <c r="AW85" s="290">
        <f>IF(($R$40=AV85)*AND($R$41&lt;&gt;""),VLOOKUP($R$41,'Barèmes CALOG'!$AU$4:$AV$34,2),0)</f>
        <v>0</v>
      </c>
    </row>
    <row r="86" spans="48:49" ht="12.75" customHeight="1" x14ac:dyDescent="0.2">
      <c r="AV86" s="141" t="s">
        <v>286</v>
      </c>
      <c r="AW86" s="290">
        <f>IF(($R$40=AV86)*AND($R$41&lt;&gt;""),VLOOKUP($R$41,'Barèmes CALOG'!$AX$4:$AY$34,2),0)</f>
        <v>0</v>
      </c>
    </row>
    <row r="87" spans="48:49" ht="12.75" customHeight="1" x14ac:dyDescent="0.2">
      <c r="AV87" s="141" t="s">
        <v>287</v>
      </c>
      <c r="AW87" s="290">
        <f>IF(($R$40=AV87)*AND($R$41&lt;&gt;""),VLOOKUP($R$41,'Barèmes CALOG'!$BA$4:$BB$34,2),0)</f>
        <v>0</v>
      </c>
    </row>
    <row r="88" spans="48:49" ht="12.75" customHeight="1" x14ac:dyDescent="0.2">
      <c r="AV88" s="141" t="s">
        <v>288</v>
      </c>
      <c r="AW88" s="290">
        <f>IF(($R$40=AV88)*AND($R$41&lt;&gt;""),VLOOKUP($R$41,'Barèmes CALOG'!$BD$4:$BE$34,2),0)</f>
        <v>0</v>
      </c>
    </row>
    <row r="89" spans="48:49" ht="12.75" customHeight="1" x14ac:dyDescent="0.2">
      <c r="AV89" s="141" t="s">
        <v>289</v>
      </c>
      <c r="AW89" s="290">
        <f>IF(($R$40=AV89)*AND($R$41&lt;&gt;""),VLOOKUP($R$41,'Barèmes CALOG'!$BG$4:$BH$34,2),0)</f>
        <v>0</v>
      </c>
    </row>
    <row r="90" spans="48:49" ht="12.75" customHeight="1" x14ac:dyDescent="0.2">
      <c r="AV90" s="141" t="s">
        <v>290</v>
      </c>
      <c r="AW90" s="290">
        <f>IF(($R$40=AV90)*AND($R$41&lt;&gt;""),VLOOKUP($R$41,'Barèmes CALOG'!$BJ$4:$BK$34,2),0)</f>
        <v>0</v>
      </c>
    </row>
    <row r="91" spans="48:49" ht="12.75" customHeight="1" x14ac:dyDescent="0.2">
      <c r="AV91" s="141" t="s">
        <v>291</v>
      </c>
      <c r="AW91" s="290">
        <f>IF(($R$40=AV91)*AND($R$41&lt;&gt;""),VLOOKUP($R$41,'Barèmes CALOG'!$BM$4:$BN$34,2),0)</f>
        <v>0</v>
      </c>
    </row>
    <row r="92" spans="48:49" ht="12.75" customHeight="1" x14ac:dyDescent="0.2">
      <c r="AV92" s="141" t="s">
        <v>292</v>
      </c>
      <c r="AW92" s="290">
        <f>IF(($R$40=AV92)*AND($R$41&lt;&gt;""),VLOOKUP($R$41,'Barèmes CALOG'!$BP$4:$BQ$34,2),0)</f>
        <v>0</v>
      </c>
    </row>
    <row r="93" spans="48:49" ht="12.75" customHeight="1" x14ac:dyDescent="0.2">
      <c r="AV93" s="141" t="s">
        <v>293</v>
      </c>
      <c r="AW93" s="290">
        <f>IF(($R$40=AV93)*AND($R$41&lt;&gt;""),VLOOKUP($R$41,'Barèmes CALOG'!$BS$4:$BT$34,2),0)</f>
        <v>0</v>
      </c>
    </row>
    <row r="94" spans="48:49" ht="12.75" customHeight="1" x14ac:dyDescent="0.2">
      <c r="AV94" s="141" t="s">
        <v>294</v>
      </c>
      <c r="AW94" s="290">
        <f>IF(($R$40=AV94)*AND($R$41&lt;&gt;""),VLOOKUP($R$41,'Barèmes CALOG'!$BV$4:$BW$34,2),0)</f>
        <v>0</v>
      </c>
    </row>
    <row r="95" spans="48:49" ht="12.75" customHeight="1" x14ac:dyDescent="0.2">
      <c r="AV95" s="141" t="s">
        <v>295</v>
      </c>
      <c r="AW95" s="290">
        <f>IF(($R$40=AV95)*AND($R$41&lt;&gt;""),VLOOKUP($R$41,'Barèmes CALOG'!$BY$4:$BZ$34,2),0)</f>
        <v>0</v>
      </c>
    </row>
    <row r="96" spans="48:49" ht="12.75" customHeight="1" x14ac:dyDescent="0.2">
      <c r="AV96" s="141" t="s">
        <v>296</v>
      </c>
      <c r="AW96" s="290">
        <f>IF(($R$40=AV96)*AND($R$41&lt;&gt;""),VLOOKUP($R$41,'Barèmes CALOG'!$CB$4:$CC$34,2),0)</f>
        <v>0</v>
      </c>
    </row>
    <row r="97" spans="48:49" ht="12.75" customHeight="1" x14ac:dyDescent="0.2">
      <c r="AV97" s="141" t="s">
        <v>297</v>
      </c>
      <c r="AW97" s="290">
        <f>IF(($R$40=AV97)*AND($R$41&lt;&gt;""),VLOOKUP($R$41,'Barèmes CALOG'!$CE$4:$CF$34,2),0)</f>
        <v>0</v>
      </c>
    </row>
    <row r="98" spans="48:49" ht="12.75" customHeight="1" x14ac:dyDescent="0.2">
      <c r="AV98" s="141" t="s">
        <v>298</v>
      </c>
      <c r="AW98" s="290">
        <f>IF(($R$40=AV98)*AND($R$41&lt;&gt;""),VLOOKUP($R$41,'Barèmes CALOG'!$CH$4:$CI$34,2),0)</f>
        <v>0</v>
      </c>
    </row>
    <row r="99" spans="48:49" ht="12.75" customHeight="1" x14ac:dyDescent="0.2">
      <c r="AV99" s="141" t="s">
        <v>299</v>
      </c>
      <c r="AW99" s="290">
        <f>IF(($R$40=AV99)*AND($R$41&lt;&gt;""),VLOOKUP($R$41,'Barèmes CALOG'!$CK$4:$CL$34,2),0)</f>
        <v>0</v>
      </c>
    </row>
    <row r="100" spans="48:49" ht="12.75" customHeight="1" x14ac:dyDescent="0.2">
      <c r="AV100" s="141" t="s">
        <v>300</v>
      </c>
      <c r="AW100" s="290">
        <f>IF(($R$40=AV100)*AND($R$41&lt;&gt;""),VLOOKUP($R$41,'Barèmes CALOG'!$CN$4:$CO$34,2),0)</f>
        <v>0</v>
      </c>
    </row>
    <row r="101" spans="48:49" ht="12.75" customHeight="1" x14ac:dyDescent="0.2">
      <c r="AV101" s="141" t="s">
        <v>301</v>
      </c>
      <c r="AW101" s="290">
        <f>IF(($R$40=AV101)*AND($R$41&lt;&gt;""),VLOOKUP($R$41,'Barèmes CALOG'!$CQ$4:$CR$34,2),0)</f>
        <v>0</v>
      </c>
    </row>
    <row r="102" spans="48:49" ht="12.75" customHeight="1" x14ac:dyDescent="0.2">
      <c r="AV102" s="141" t="s">
        <v>302</v>
      </c>
      <c r="AW102" s="290">
        <f>IF(($R$40=AV102)*AND($R$41&lt;&gt;""),VLOOKUP($R$41,'Barèmes CALOG'!$CT$4:$CU$34,2),0)</f>
        <v>0</v>
      </c>
    </row>
    <row r="103" spans="48:49" ht="12.75" customHeight="1" x14ac:dyDescent="0.2">
      <c r="AV103" s="141" t="s">
        <v>303</v>
      </c>
      <c r="AW103" s="290">
        <f>IF(($R$40=AV103)*AND($R$41&lt;&gt;""),VLOOKUP($R$41,'Barèmes CALOG'!$CW$4:$CX$34,2),0)</f>
        <v>0</v>
      </c>
    </row>
    <row r="104" spans="48:49" ht="12.75" customHeight="1" x14ac:dyDescent="0.2">
      <c r="AV104" s="141" t="s">
        <v>304</v>
      </c>
      <c r="AW104" s="290">
        <f>IF(($R$40=AV104)*AND($R$41&lt;&gt;""),VLOOKUP($R$41,'Barèmes CALOG'!$B$40:$C$70,2),0)</f>
        <v>0</v>
      </c>
    </row>
    <row r="105" spans="48:49" ht="12.75" customHeight="1" x14ac:dyDescent="0.2">
      <c r="AV105" s="141" t="s">
        <v>305</v>
      </c>
      <c r="AW105" s="290">
        <f>IF(($R$40=AV105)*AND($R$41&lt;&gt;""),VLOOKUP($R$41,'Barèmes CALOG'!$E$40:$F$70,2),0)</f>
        <v>0</v>
      </c>
    </row>
    <row r="106" spans="48:49" ht="12.75" customHeight="1" x14ac:dyDescent="0.2">
      <c r="AV106" s="141" t="s">
        <v>306</v>
      </c>
      <c r="AW106" s="290">
        <f>IF(($R$40=AV106)*AND($R$41&lt;&gt;""),VLOOKUP($R$41,'Barèmes CALOG'!$H$40:$I$70,2),0)</f>
        <v>0</v>
      </c>
    </row>
    <row r="107" spans="48:49" ht="12.75" customHeight="1" x14ac:dyDescent="0.2">
      <c r="AV107" s="141" t="s">
        <v>307</v>
      </c>
      <c r="AW107" s="290">
        <f>IF(($R$40=AV107)*AND($R$41&lt;&gt;""),VLOOKUP($R$41,'Barèmes CALOG'!$K$40:$L$70,2),0)</f>
        <v>0</v>
      </c>
    </row>
    <row r="108" spans="48:49" ht="12.75" customHeight="1" x14ac:dyDescent="0.2">
      <c r="AV108" s="141" t="s">
        <v>308</v>
      </c>
      <c r="AW108" s="290">
        <f>IF(($R$40=AV108)*AND($R$41&lt;&gt;""),VLOOKUP($R$41,'Barèmes CALOG'!$N$40:$O$70,2),0)</f>
        <v>0</v>
      </c>
    </row>
    <row r="109" spans="48:49" ht="12.75" customHeight="1" x14ac:dyDescent="0.2">
      <c r="AV109" s="141" t="s">
        <v>309</v>
      </c>
      <c r="AW109" s="290">
        <f>IF(($R$40=AV109)*AND($R$41&lt;&gt;""),VLOOKUP($R$41,'Barèmes CALOG'!$Q$40:$R$70,2),0)</f>
        <v>0</v>
      </c>
    </row>
    <row r="110" spans="48:49" ht="12.75" customHeight="1" x14ac:dyDescent="0.2">
      <c r="AV110" s="141" t="s">
        <v>310</v>
      </c>
      <c r="AW110" s="290">
        <f>IF(($R$40=AV110)*AND($R$41&lt;&gt;""),VLOOKUP($R$41,'Barèmes CALOG'!$T$40:$U$70,2),0)</f>
        <v>0</v>
      </c>
    </row>
    <row r="111" spans="48:49" ht="12.75" customHeight="1" x14ac:dyDescent="0.2">
      <c r="AV111" s="141" t="s">
        <v>311</v>
      </c>
      <c r="AW111" s="290">
        <f>IF(($R$40=AV111)*AND($R$41&lt;&gt;""),VLOOKUP($R$41,'Barèmes CALOG'!$W$40:$X$70,2),0)</f>
        <v>0</v>
      </c>
    </row>
    <row r="112" spans="48:49" ht="12.75" customHeight="1" x14ac:dyDescent="0.2">
      <c r="AV112" s="141" t="s">
        <v>312</v>
      </c>
      <c r="AW112" s="290">
        <f>IF(($R$40=AV112)*AND($R$41&lt;&gt;""),VLOOKUP($R$41,'Barèmes CALOG'!$Z$40:$AA$70,2),0)</f>
        <v>0</v>
      </c>
    </row>
    <row r="113" spans="48:49" ht="12.75" customHeight="1" x14ac:dyDescent="0.2">
      <c r="AV113" s="141" t="s">
        <v>313</v>
      </c>
      <c r="AW113" s="290">
        <f>IF(($R$40=AV113)*AND($R$41&lt;&gt;""),VLOOKUP($R$41,'Barèmes CALOG'!$AC$40:$AD$70,2),0)</f>
        <v>0</v>
      </c>
    </row>
    <row r="114" spans="48:49" ht="12.75" customHeight="1" x14ac:dyDescent="0.2">
      <c r="AV114" s="141" t="s">
        <v>314</v>
      </c>
      <c r="AW114" s="290">
        <f>IF(($R$40=AV114)*AND($R$41&lt;&gt;""),VLOOKUP($R$41,'Barèmes CALOG'!$AF$40:$AG$70,2),0)</f>
        <v>0</v>
      </c>
    </row>
    <row r="115" spans="48:49" ht="12.75" customHeight="1" x14ac:dyDescent="0.2">
      <c r="AV115" s="141" t="s">
        <v>315</v>
      </c>
      <c r="AW115" s="290">
        <f>IF(($R$40=AV115)*AND($R$41&lt;&gt;""),VLOOKUP($R$41,'Barèmes CALOG'!$AI$40:$AJ$70,2),0)</f>
        <v>0</v>
      </c>
    </row>
    <row r="116" spans="48:49" ht="12.75" customHeight="1" x14ac:dyDescent="0.2">
      <c r="AV116" s="141" t="s">
        <v>316</v>
      </c>
      <c r="AW116" s="290">
        <f>IF(($R$40=AV116)*AND($R$41&lt;&gt;""),VLOOKUP($R$41,'Barèmes CALOG'!$AL$40:$AM$70,2),0)</f>
        <v>0</v>
      </c>
    </row>
    <row r="117" spans="48:49" ht="12.75" customHeight="1" x14ac:dyDescent="0.2">
      <c r="AV117" s="141" t="s">
        <v>317</v>
      </c>
      <c r="AW117" s="290">
        <f>IF(($R$40=AV117)*AND($R$41&lt;&gt;""),VLOOKUP($R$41,'Barèmes CALOG'!$AO$40:$AP$70,2),0)</f>
        <v>0</v>
      </c>
    </row>
    <row r="118" spans="48:49" ht="12.75" customHeight="1" x14ac:dyDescent="0.2">
      <c r="AV118" s="141" t="s">
        <v>318</v>
      </c>
      <c r="AW118" s="290">
        <f>IF(($R$40=AV118)*AND($R$41&lt;&gt;""),VLOOKUP($R$41,'Barèmes CALOG'!$AR$40:$AS$70,2),0)</f>
        <v>0</v>
      </c>
    </row>
    <row r="119" spans="48:49" ht="12.75" customHeight="1" x14ac:dyDescent="0.2">
      <c r="AV119" s="141" t="s">
        <v>319</v>
      </c>
      <c r="AW119" s="290">
        <f>IF(($R$40=AV119)*AND($R$41&lt;&gt;""),VLOOKUP($R$41,'Barèmes CALOG'!$AU$40:$AV$70,2),0)</f>
        <v>0</v>
      </c>
    </row>
    <row r="120" spans="48:49" ht="12.75" customHeight="1" x14ac:dyDescent="0.2">
      <c r="AV120" s="141" t="s">
        <v>320</v>
      </c>
      <c r="AW120" s="290">
        <f>IF(($R$40=AV120)*AND($R$41&lt;&gt;""),VLOOKUP($R$41,'Barèmes CALOG'!$AX$40:$AY$70,2),0)</f>
        <v>0</v>
      </c>
    </row>
    <row r="121" spans="48:49" ht="12.75" customHeight="1" x14ac:dyDescent="0.2">
      <c r="AV121" s="141" t="s">
        <v>321</v>
      </c>
      <c r="AW121" s="290">
        <f>IF(($R$40=AV121)*AND($R$41&lt;&gt;""),VLOOKUP($R$41,'Barèmes CALOG'!$BA$40:$BB$70,2),0)</f>
        <v>0</v>
      </c>
    </row>
    <row r="122" spans="48:49" ht="12.75" customHeight="1" x14ac:dyDescent="0.2">
      <c r="AV122" s="141" t="s">
        <v>322</v>
      </c>
      <c r="AW122" s="290">
        <f>IF(($R$40=AV122)*AND($R$41&lt;&gt;""),VLOOKUP($R$41,'Barèmes CALOG'!$BD$40:$BE$70,2),0)</f>
        <v>0</v>
      </c>
    </row>
    <row r="123" spans="48:49" ht="12.75" customHeight="1" x14ac:dyDescent="0.2">
      <c r="AV123" s="141" t="s">
        <v>323</v>
      </c>
      <c r="AW123" s="290">
        <f>IF(($R$40=AV123)*AND($R$41&lt;&gt;""),VLOOKUP($R$41,'Barèmes CALOG'!$BG$40:$BH$70,2),0)</f>
        <v>0</v>
      </c>
    </row>
    <row r="124" spans="48:49" ht="12.75" customHeight="1" x14ac:dyDescent="0.2">
      <c r="AV124" s="141" t="s">
        <v>324</v>
      </c>
      <c r="AW124" s="290">
        <f>IF(($R$40=AV124)*AND($R$41&lt;&gt;""),VLOOKUP($R$41,'Barèmes CALOG'!$BJ$40:$BK$70,2),0)</f>
        <v>0</v>
      </c>
    </row>
    <row r="125" spans="48:49" ht="12.75" customHeight="1" x14ac:dyDescent="0.2">
      <c r="AV125" s="141" t="s">
        <v>325</v>
      </c>
      <c r="AW125" s="290">
        <f>IF(($R$40=AV125)*AND($R$41&lt;&gt;""),VLOOKUP($R$41,'Barèmes CALOG'!$BM$40:$BN$70,2),0)</f>
        <v>0</v>
      </c>
    </row>
    <row r="126" spans="48:49" ht="12.75" customHeight="1" x14ac:dyDescent="0.2">
      <c r="AV126" s="141" t="s">
        <v>326</v>
      </c>
      <c r="AW126" s="290">
        <f>IF(($R$40=AV126)*AND($R$41&lt;&gt;""),VLOOKUP($R$41,'Barèmes CALOG'!$BP$40:$BQ$70,2),0)</f>
        <v>0</v>
      </c>
    </row>
    <row r="127" spans="48:49" ht="12.75" customHeight="1" x14ac:dyDescent="0.2">
      <c r="AV127" s="141" t="s">
        <v>327</v>
      </c>
      <c r="AW127" s="290">
        <f>IF(($R$40=AV127)*AND($R$41&lt;&gt;""),VLOOKUP($R$41,'Barèmes CALOG'!$BS$40:$BT$70,2),0)</f>
        <v>0</v>
      </c>
    </row>
    <row r="128" spans="48:49" ht="12.75" customHeight="1" x14ac:dyDescent="0.2">
      <c r="AV128" s="141" t="s">
        <v>328</v>
      </c>
      <c r="AW128" s="290">
        <f>IF(($R$40=AV128)*AND($R$41&lt;&gt;""),VLOOKUP($R$41,'Barèmes CALOG'!$BV$40:$BW$70,2),0)</f>
        <v>0</v>
      </c>
    </row>
    <row r="129" spans="48:49" ht="12.75" customHeight="1" x14ac:dyDescent="0.2">
      <c r="AV129" s="141" t="s">
        <v>329</v>
      </c>
      <c r="AW129" s="290">
        <f>IF(($R$40=AV129)*AND($R$41&lt;&gt;""),VLOOKUP($R$41,'Barèmes CALOG'!$BY$40:$BZ$70,2),0)</f>
        <v>0</v>
      </c>
    </row>
    <row r="130" spans="48:49" ht="12.75" customHeight="1" x14ac:dyDescent="0.2">
      <c r="AV130" s="141" t="s">
        <v>330</v>
      </c>
      <c r="AW130" s="290">
        <f>IF(($R$40=AV130)*AND($R$41&lt;&gt;""),VLOOKUP($R$41,'Barèmes CALOG'!$CB$40:$CC$70,2),0)</f>
        <v>0</v>
      </c>
    </row>
    <row r="131" spans="48:49" ht="12.75" customHeight="1" x14ac:dyDescent="0.2">
      <c r="AV131" s="141" t="s">
        <v>331</v>
      </c>
      <c r="AW131" s="290">
        <f>IF(($R$40=AV131)*AND($R$41&lt;&gt;""),VLOOKUP($R$41,'Barèmes CALOG'!$CE$40:$CF$70,2),0)</f>
        <v>0</v>
      </c>
    </row>
  </sheetData>
  <sheetProtection password="EC91" sheet="1" objects="1" scenarios="1" selectLockedCells="1"/>
  <mergeCells count="124">
    <mergeCell ref="AB57:AD57"/>
    <mergeCell ref="B52:E52"/>
    <mergeCell ref="F52:G52"/>
    <mergeCell ref="S52:U52"/>
    <mergeCell ref="AB52:AD52"/>
    <mergeCell ref="AB58:AD58"/>
    <mergeCell ref="AG53:AJ53"/>
    <mergeCell ref="S54:U54"/>
    <mergeCell ref="AB54:AD54"/>
    <mergeCell ref="AG54:AJ54"/>
    <mergeCell ref="S55:U55"/>
    <mergeCell ref="S56:U56"/>
    <mergeCell ref="S53:U53"/>
    <mergeCell ref="AB53:AD53"/>
    <mergeCell ref="S51:U51"/>
    <mergeCell ref="AB51:AD51"/>
    <mergeCell ref="AG51:AJ51"/>
    <mergeCell ref="B49:G49"/>
    <mergeCell ref="O49:Q49"/>
    <mergeCell ref="S49:U49"/>
    <mergeCell ref="B50:E50"/>
    <mergeCell ref="S50:U50"/>
    <mergeCell ref="AG50:AJ50"/>
    <mergeCell ref="O50:R50"/>
    <mergeCell ref="B51:E51"/>
    <mergeCell ref="F51:G51"/>
    <mergeCell ref="O51:R51"/>
    <mergeCell ref="O48:Q48"/>
    <mergeCell ref="S48:U48"/>
    <mergeCell ref="AB48:AD48"/>
    <mergeCell ref="AG48:AJ48"/>
    <mergeCell ref="O46:Q46"/>
    <mergeCell ref="S46:U46"/>
    <mergeCell ref="AB47:AD47"/>
    <mergeCell ref="Z47:AA47"/>
    <mergeCell ref="Z48:AA48"/>
    <mergeCell ref="B47:E47"/>
    <mergeCell ref="F47:G47"/>
    <mergeCell ref="O47:Q47"/>
    <mergeCell ref="S47:U47"/>
    <mergeCell ref="AM44:AP44"/>
    <mergeCell ref="AQ44:AR44"/>
    <mergeCell ref="B45:D45"/>
    <mergeCell ref="E45:F45"/>
    <mergeCell ref="G45:H45"/>
    <mergeCell ref="Z45:AA45"/>
    <mergeCell ref="AG47:AJ47"/>
    <mergeCell ref="AB45:AD45"/>
    <mergeCell ref="AG45:AJ45"/>
    <mergeCell ref="AM45:AP45"/>
    <mergeCell ref="AQ45:AR45"/>
    <mergeCell ref="B44:D44"/>
    <mergeCell ref="E44:F44"/>
    <mergeCell ref="G44:H44"/>
    <mergeCell ref="S44:U44"/>
    <mergeCell ref="AB44:AD44"/>
    <mergeCell ref="AG44:AJ44"/>
    <mergeCell ref="B43:D43"/>
    <mergeCell ref="E43:F43"/>
    <mergeCell ref="G43:H43"/>
    <mergeCell ref="S43:U43"/>
    <mergeCell ref="Z43:AA44"/>
    <mergeCell ref="AB43:AD43"/>
    <mergeCell ref="AG43:AJ43"/>
    <mergeCell ref="AM43:AP43"/>
    <mergeCell ref="AQ43:AR43"/>
    <mergeCell ref="B42:D42"/>
    <mergeCell ref="E42:F42"/>
    <mergeCell ref="G42:H42"/>
    <mergeCell ref="S42:U42"/>
    <mergeCell ref="J40:N40"/>
    <mergeCell ref="R40:S40"/>
    <mergeCell ref="AB42:AD42"/>
    <mergeCell ref="AG42:AJ42"/>
    <mergeCell ref="AM42:AQ42"/>
    <mergeCell ref="B41:D41"/>
    <mergeCell ref="E41:F41"/>
    <mergeCell ref="G41:H41"/>
    <mergeCell ref="R41:S41"/>
    <mergeCell ref="T41:V41"/>
    <mergeCell ref="Z41:AA41"/>
    <mergeCell ref="B40:D40"/>
    <mergeCell ref="E40:F40"/>
    <mergeCell ref="G40:H40"/>
    <mergeCell ref="T40:V40"/>
    <mergeCell ref="O7:P7"/>
    <mergeCell ref="AV4:AV7"/>
    <mergeCell ref="AW4:AW7"/>
    <mergeCell ref="AH5:AJ5"/>
    <mergeCell ref="AK5:AN5"/>
    <mergeCell ref="W39:X39"/>
    <mergeCell ref="AF4:AF7"/>
    <mergeCell ref="AS4:AS7"/>
    <mergeCell ref="AO4:AR4"/>
    <mergeCell ref="AT4:AT7"/>
    <mergeCell ref="AU4:AU7"/>
    <mergeCell ref="AG4:AG7"/>
    <mergeCell ref="AE4:AE7"/>
    <mergeCell ref="Z40:AA40"/>
    <mergeCell ref="Z6:Z7"/>
    <mergeCell ref="X6:X7"/>
    <mergeCell ref="AB4:AB7"/>
    <mergeCell ref="AC4:AC7"/>
    <mergeCell ref="AD4:AD7"/>
    <mergeCell ref="J6:K6"/>
    <mergeCell ref="L6:N6"/>
    <mergeCell ref="O6:P6"/>
    <mergeCell ref="Q6:T6"/>
    <mergeCell ref="B6:B7"/>
    <mergeCell ref="C6:C7"/>
    <mergeCell ref="D6:D7"/>
    <mergeCell ref="E6:E7"/>
    <mergeCell ref="F6:G6"/>
    <mergeCell ref="H6:I6"/>
    <mergeCell ref="D2:G2"/>
    <mergeCell ref="I2:L2"/>
    <mergeCell ref="N2:Q2"/>
    <mergeCell ref="R2:S2"/>
    <mergeCell ref="D3:G3"/>
    <mergeCell ref="J3:L3"/>
    <mergeCell ref="N3:Q3"/>
    <mergeCell ref="R3:S3"/>
    <mergeCell ref="D4:G4"/>
    <mergeCell ref="J4:L4"/>
  </mergeCells>
  <conditionalFormatting sqref="B8:AA37">
    <cfRule type="expression" dxfId="3" priority="2" stopIfTrue="1">
      <formula>OR($B8="Sa",$B8="Di",$D8="Jour férié semaine",$D8="Jour de pont")</formula>
    </cfRule>
  </conditionalFormatting>
  <conditionalFormatting sqref="Y8:AA37">
    <cfRule type="expression" dxfId="2" priority="1" stopIfTrue="1">
      <formula>OR($B8="Za",$B8="Zo",$D8="Feestdag week",$D8="Brugdag")</formula>
    </cfRule>
  </conditionalFormatting>
  <dataValidations count="3">
    <dataValidation type="list" allowBlank="1" showInputMessage="1" showErrorMessage="1" sqref="D8:D37" xr:uid="{00000000-0002-0000-0D00-000000000000}">
      <formula1>$AX$8:$AX$29</formula1>
    </dataValidation>
    <dataValidation type="list" allowBlank="1" showInputMessage="1" showErrorMessage="1" sqref="E8:E37" xr:uid="{00000000-0002-0000-0D00-000001000000}">
      <formula1>"M,E,ME"</formula1>
    </dataValidation>
    <dataValidation type="list" allowBlank="1" showInputMessage="1" showErrorMessage="1" sqref="R2:R3 F47" xr:uid="{00000000-0002-0000-0D00-000002000000}">
      <formula1>"Oui,Non"</formula1>
    </dataValidation>
  </dataValidations>
  <pageMargins left="0.7" right="0.7" top="0.75" bottom="0.75" header="0.3" footer="0.3"/>
  <pageSetup paperSize="9" scale="69" fitToWidth="0" orientation="landscape"/>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pageSetUpPr fitToPage="1"/>
  </sheetPr>
  <dimension ref="A1:BF131"/>
  <sheetViews>
    <sheetView workbookViewId="0">
      <selection activeCell="D8" sqref="D8"/>
    </sheetView>
  </sheetViews>
  <sheetFormatPr defaultRowHeight="12.75" customHeight="1" x14ac:dyDescent="0.2"/>
  <cols>
    <col min="1" max="1" width="1.42578125" style="17" customWidth="1"/>
    <col min="2" max="2" width="4" style="19" customWidth="1"/>
    <col min="3" max="3" width="6.85546875" style="17" customWidth="1"/>
    <col min="4" max="4" width="17.7109375" style="17" customWidth="1"/>
    <col min="5" max="5" width="4.42578125" style="17" customWidth="1"/>
    <col min="6" max="7" width="5.140625" style="37" customWidth="1"/>
    <col min="8" max="11" width="5.140625" style="17" customWidth="1"/>
    <col min="12" max="12" width="5.7109375" style="19" customWidth="1"/>
    <col min="13" max="13" width="6.28515625" style="19" customWidth="1"/>
    <col min="14" max="14" width="6.140625" style="18" customWidth="1"/>
    <col min="15" max="15" width="2.42578125" style="18" customWidth="1"/>
    <col min="16" max="16" width="6.42578125" style="17" customWidth="1"/>
    <col min="17" max="20" width="2.85546875" style="17" customWidth="1"/>
    <col min="21" max="21" width="5.7109375" style="17" customWidth="1"/>
    <col min="22" max="23" width="7.42578125" style="17" customWidth="1"/>
    <col min="24" max="24" width="7.7109375" style="17" customWidth="1"/>
    <col min="25" max="25" width="5.28515625" style="141" customWidth="1"/>
    <col min="26" max="26" width="6.42578125" style="141" customWidth="1"/>
    <col min="27" max="27" width="7.7109375" style="141" customWidth="1"/>
    <col min="28" max="28" width="7.85546875" style="141" hidden="1" customWidth="1"/>
    <col min="29" max="32" width="12.42578125" style="141" hidden="1" customWidth="1"/>
    <col min="33" max="33" width="8" style="141" hidden="1" customWidth="1"/>
    <col min="34" max="34" width="9.140625" style="141" hidden="1" customWidth="1"/>
    <col min="35" max="45" width="7.7109375" style="141" hidden="1" customWidth="1"/>
    <col min="46" max="48" width="12.140625" style="141" hidden="1" customWidth="1"/>
    <col min="49" max="51" width="9.85546875" style="141" hidden="1" customWidth="1"/>
    <col min="52" max="256" width="11.42578125" style="17" customWidth="1"/>
    <col min="257" max="16384" width="9.140625" style="17"/>
  </cols>
  <sheetData>
    <row r="1" spans="1:58" ht="5.25" customHeight="1" x14ac:dyDescent="0.2"/>
    <row r="2" spans="1:58" ht="12.75" customHeight="1" x14ac:dyDescent="0.2">
      <c r="D2" s="455" t="str">
        <f>CONCATENATE("Utilisateur: ",Configuration!H17)</f>
        <v xml:space="preserve">Utilisateur: </v>
      </c>
      <c r="E2" s="455"/>
      <c r="F2" s="455"/>
      <c r="G2" s="455"/>
      <c r="I2" s="456" t="s">
        <v>174</v>
      </c>
      <c r="J2" s="438"/>
      <c r="K2" s="438"/>
      <c r="L2" s="438"/>
      <c r="M2" s="18"/>
      <c r="N2" s="456" t="s">
        <v>177</v>
      </c>
      <c r="O2" s="438"/>
      <c r="P2" s="438"/>
      <c r="Q2" s="438"/>
      <c r="R2" s="439" t="s">
        <v>179</v>
      </c>
      <c r="S2" s="439"/>
      <c r="T2" s="20"/>
    </row>
    <row r="3" spans="1:58" ht="12.75" customHeight="1" x14ac:dyDescent="0.2">
      <c r="D3" s="440" t="str">
        <f>Configuration!G8</f>
        <v>OTT Tool 2024</v>
      </c>
      <c r="E3" s="440"/>
      <c r="F3" s="440"/>
      <c r="G3" s="440"/>
      <c r="I3" s="26"/>
      <c r="J3" s="438" t="s">
        <v>175</v>
      </c>
      <c r="K3" s="438"/>
      <c r="L3" s="438"/>
      <c r="M3" s="45">
        <f>IF(Nov!$F$47="Oui",Nov!F51,0)</f>
        <v>0</v>
      </c>
      <c r="N3" s="456" t="s">
        <v>178</v>
      </c>
      <c r="O3" s="438"/>
      <c r="P3" s="438"/>
      <c r="Q3" s="438"/>
      <c r="R3" s="439" t="s">
        <v>180</v>
      </c>
      <c r="S3" s="439"/>
      <c r="T3" s="20"/>
    </row>
    <row r="4" spans="1:58" ht="12.75" customHeight="1" x14ac:dyDescent="0.2">
      <c r="D4" s="440" t="s">
        <v>173</v>
      </c>
      <c r="E4" s="440"/>
      <c r="F4" s="440"/>
      <c r="G4" s="440"/>
      <c r="I4" s="20"/>
      <c r="J4" s="438" t="s">
        <v>176</v>
      </c>
      <c r="K4" s="438"/>
      <c r="L4" s="438"/>
      <c r="M4" s="45">
        <f>IF(Nov!$F$47="Oui",Nov!F52,Nov!M4)</f>
        <v>0</v>
      </c>
      <c r="N4" s="21"/>
      <c r="O4" s="19"/>
      <c r="Q4" s="18"/>
      <c r="T4" s="20"/>
      <c r="AB4" s="443" t="s">
        <v>259</v>
      </c>
      <c r="AC4" s="432" t="s">
        <v>160</v>
      </c>
      <c r="AD4" s="432" t="s">
        <v>255</v>
      </c>
      <c r="AE4" s="432" t="s">
        <v>166</v>
      </c>
      <c r="AF4" s="454" t="s">
        <v>168</v>
      </c>
      <c r="AG4" s="429" t="s">
        <v>45</v>
      </c>
      <c r="AJ4" s="121"/>
      <c r="AO4" s="426" t="s">
        <v>48</v>
      </c>
      <c r="AP4" s="427"/>
      <c r="AQ4" s="427"/>
      <c r="AR4" s="428"/>
      <c r="AS4" s="430" t="s">
        <v>52</v>
      </c>
      <c r="AT4" s="431" t="s">
        <v>53</v>
      </c>
      <c r="AU4" s="431" t="s">
        <v>60</v>
      </c>
      <c r="AV4" s="418" t="s">
        <v>62</v>
      </c>
      <c r="AW4" s="432" t="s">
        <v>63</v>
      </c>
    </row>
    <row r="5" spans="1:58" ht="12.75" customHeight="1" x14ac:dyDescent="0.2">
      <c r="B5" s="35"/>
      <c r="AB5" s="443"/>
      <c r="AC5" s="432"/>
      <c r="AD5" s="432"/>
      <c r="AE5" s="432"/>
      <c r="AF5" s="454"/>
      <c r="AG5" s="429"/>
      <c r="AH5" s="426" t="s">
        <v>47</v>
      </c>
      <c r="AI5" s="427"/>
      <c r="AJ5" s="428"/>
      <c r="AK5" s="426" t="s">
        <v>46</v>
      </c>
      <c r="AL5" s="427"/>
      <c r="AM5" s="427"/>
      <c r="AN5" s="428"/>
      <c r="AO5" s="105" t="s">
        <v>49</v>
      </c>
      <c r="AP5" s="94" t="s">
        <v>50</v>
      </c>
      <c r="AQ5" s="94" t="s">
        <v>51</v>
      </c>
      <c r="AR5" s="112" t="s">
        <v>46</v>
      </c>
      <c r="AS5" s="430"/>
      <c r="AT5" s="431"/>
      <c r="AU5" s="431"/>
      <c r="AV5" s="418"/>
      <c r="AW5" s="432"/>
    </row>
    <row r="6" spans="1:58" ht="12.75" customHeight="1" x14ac:dyDescent="0.2">
      <c r="A6" s="34"/>
      <c r="B6" s="419" t="s">
        <v>181</v>
      </c>
      <c r="C6" s="421" t="s">
        <v>182</v>
      </c>
      <c r="D6" s="421" t="s">
        <v>183</v>
      </c>
      <c r="E6" s="423" t="s">
        <v>184</v>
      </c>
      <c r="F6" s="446" t="s">
        <v>111</v>
      </c>
      <c r="G6" s="447"/>
      <c r="H6" s="433" t="s">
        <v>111</v>
      </c>
      <c r="I6" s="434"/>
      <c r="J6" s="433" t="s">
        <v>111</v>
      </c>
      <c r="K6" s="434"/>
      <c r="L6" s="433" t="s">
        <v>185</v>
      </c>
      <c r="M6" s="435"/>
      <c r="N6" s="434"/>
      <c r="O6" s="436" t="s">
        <v>41</v>
      </c>
      <c r="P6" s="437"/>
      <c r="Q6" s="433" t="s">
        <v>189</v>
      </c>
      <c r="R6" s="435"/>
      <c r="S6" s="435"/>
      <c r="T6" s="434"/>
      <c r="U6" s="27" t="s">
        <v>190</v>
      </c>
      <c r="V6" s="27" t="s">
        <v>191</v>
      </c>
      <c r="W6" s="27" t="s">
        <v>191</v>
      </c>
      <c r="X6" s="444" t="s">
        <v>192</v>
      </c>
      <c r="Y6" s="137" t="s">
        <v>195</v>
      </c>
      <c r="Z6" s="421" t="s">
        <v>245</v>
      </c>
      <c r="AA6" s="137" t="s">
        <v>246</v>
      </c>
      <c r="AB6" s="443"/>
      <c r="AC6" s="432"/>
      <c r="AD6" s="432"/>
      <c r="AE6" s="432"/>
      <c r="AF6" s="454"/>
      <c r="AG6" s="429"/>
      <c r="AH6" s="102">
        <v>0.79166666666666663</v>
      </c>
      <c r="AI6" s="100">
        <v>0</v>
      </c>
      <c r="AJ6" s="104">
        <v>0.79166666666666663</v>
      </c>
      <c r="AK6" s="120">
        <v>0.91666666666666663</v>
      </c>
      <c r="AL6" s="100">
        <v>0</v>
      </c>
      <c r="AM6" s="96">
        <v>0.79166666666666663</v>
      </c>
      <c r="AN6" s="104">
        <v>0.91666666666666663</v>
      </c>
      <c r="AO6" s="113">
        <v>0.25</v>
      </c>
      <c r="AP6" s="114">
        <v>0.5</v>
      </c>
      <c r="AQ6" s="114">
        <v>0.75</v>
      </c>
      <c r="AR6" s="115">
        <v>0</v>
      </c>
      <c r="AS6" s="430"/>
      <c r="AT6" s="431"/>
      <c r="AU6" s="431"/>
      <c r="AV6" s="418"/>
      <c r="AW6" s="432"/>
      <c r="AZ6" s="22"/>
      <c r="BA6" s="23"/>
    </row>
    <row r="7" spans="1:58" ht="12.75" customHeight="1" x14ac:dyDescent="0.2">
      <c r="A7" s="34"/>
      <c r="B7" s="420"/>
      <c r="C7" s="422"/>
      <c r="D7" s="422"/>
      <c r="E7" s="424"/>
      <c r="F7" s="38" t="s">
        <v>112</v>
      </c>
      <c r="G7" s="39" t="s">
        <v>113</v>
      </c>
      <c r="H7" s="28" t="s">
        <v>112</v>
      </c>
      <c r="I7" s="139" t="s">
        <v>113</v>
      </c>
      <c r="J7" s="28" t="s">
        <v>112</v>
      </c>
      <c r="K7" s="139" t="s">
        <v>113</v>
      </c>
      <c r="L7" s="28" t="s">
        <v>186</v>
      </c>
      <c r="M7" s="29" t="s">
        <v>187</v>
      </c>
      <c r="N7" s="139" t="s">
        <v>44</v>
      </c>
      <c r="O7" s="441" t="s">
        <v>188</v>
      </c>
      <c r="P7" s="442"/>
      <c r="Q7" s="31" t="s">
        <v>198</v>
      </c>
      <c r="R7" s="32" t="s">
        <v>42</v>
      </c>
      <c r="S7" s="32" t="s">
        <v>199</v>
      </c>
      <c r="T7" s="140" t="s">
        <v>200</v>
      </c>
      <c r="U7" s="30" t="s">
        <v>43</v>
      </c>
      <c r="V7" s="33" t="s">
        <v>193</v>
      </c>
      <c r="W7" s="33" t="s">
        <v>194</v>
      </c>
      <c r="X7" s="445"/>
      <c r="Y7" s="138" t="s">
        <v>196</v>
      </c>
      <c r="Z7" s="422"/>
      <c r="AA7" s="138" t="s">
        <v>247</v>
      </c>
      <c r="AB7" s="443"/>
      <c r="AC7" s="432"/>
      <c r="AD7" s="432"/>
      <c r="AE7" s="432"/>
      <c r="AF7" s="454"/>
      <c r="AG7" s="429"/>
      <c r="AH7" s="102">
        <v>1</v>
      </c>
      <c r="AI7" s="100">
        <v>0.29166666666666669</v>
      </c>
      <c r="AJ7" s="104">
        <v>0.29166666666666669</v>
      </c>
      <c r="AK7" s="102">
        <v>1</v>
      </c>
      <c r="AL7" s="99">
        <v>0.25</v>
      </c>
      <c r="AM7" s="95">
        <v>0.91666666666666663</v>
      </c>
      <c r="AN7" s="103">
        <v>0.25</v>
      </c>
      <c r="AO7" s="106">
        <v>0.33333333333333331</v>
      </c>
      <c r="AP7" s="96">
        <v>0.58333333333333337</v>
      </c>
      <c r="AQ7" s="96">
        <v>0.83333333333333337</v>
      </c>
      <c r="AR7" s="104">
        <v>8.3333333333333329E-2</v>
      </c>
      <c r="AS7" s="430"/>
      <c r="AT7" s="431"/>
      <c r="AU7" s="431"/>
      <c r="AV7" s="418"/>
      <c r="AW7" s="432"/>
      <c r="AZ7" s="22" t="s">
        <v>197</v>
      </c>
      <c r="BA7" s="23"/>
    </row>
    <row r="8" spans="1:58" ht="12.75" customHeight="1" x14ac:dyDescent="0.2">
      <c r="A8" s="34"/>
      <c r="B8" s="59" t="str">
        <f t="shared" ref="B8:B38" si="0">CHOOSE(WEEKDAY(C8),"Di","Lu","Ma","Me","Je","Ve","Sa")</f>
        <v>Di</v>
      </c>
      <c r="C8" s="60">
        <f>DATE(RIGHT(Configuration!$G$8,4),12,1)</f>
        <v>45627</v>
      </c>
      <c r="D8" s="61"/>
      <c r="E8" s="62"/>
      <c r="F8" s="63"/>
      <c r="G8" s="64"/>
      <c r="H8" s="63"/>
      <c r="I8" s="64"/>
      <c r="J8" s="63"/>
      <c r="K8" s="64"/>
      <c r="L8" s="40">
        <f t="shared" ref="L8:L38" si="1">(G8-F8)+(I8-H8)+(K8-J8)+SUM(AB8,AC8,AD8,AE8,AF8,AG8)</f>
        <v>0</v>
      </c>
      <c r="M8" s="65">
        <f>L8+M3+IF(Nov!F47="Non",Nov!M37,0)</f>
        <v>0.6333333333333333</v>
      </c>
      <c r="N8" s="66">
        <f>IF(AND(D8&lt;&gt;"Jour libre 4/5",B8&lt;&gt;"Sa",B8&lt;&gt;"Di"),SUM(N7,Configuration!$H$41),SUM(N7))+IF(Nov!F47="Non",Nov!N37,0)</f>
        <v>6.6499999999999968</v>
      </c>
      <c r="O8" s="48" t="str">
        <f>IF(M8-N8-$M$4&gt;=0,"+","-")</f>
        <v>-</v>
      </c>
      <c r="P8" s="67">
        <f>ABS(M8-N8-$M$4)</f>
        <v>6.0166666666666639</v>
      </c>
      <c r="Q8" s="164">
        <f>AO8</f>
        <v>0</v>
      </c>
      <c r="R8" s="165">
        <f>AP8</f>
        <v>0</v>
      </c>
      <c r="S8" s="165">
        <f>AQ8</f>
        <v>0</v>
      </c>
      <c r="T8" s="166">
        <f>AR8</f>
        <v>0</v>
      </c>
      <c r="U8" s="93">
        <f t="shared" ref="U8:U38" si="2">IF(OR(AND(D8="Jour férié semaine",((G8-F8)+(I8-H8)+(K8-J8&gt;0))),B8="Sa",B8="Di"),L8,0)</f>
        <v>0</v>
      </c>
      <c r="V8" s="93">
        <f t="shared" ref="V8:V38" si="3">IF($R$2="Oui",AM8,0)</f>
        <v>0</v>
      </c>
      <c r="W8" s="93">
        <f t="shared" ref="W8:W38" si="4">IF($R$2="Oui",AN8,0)</f>
        <v>0</v>
      </c>
      <c r="X8" s="93">
        <f t="shared" ref="X8:X38" si="5">IF($R$3="Oui",AJ8,0)</f>
        <v>0</v>
      </c>
      <c r="Y8" s="207"/>
      <c r="Z8" s="208"/>
      <c r="AA8" s="208"/>
      <c r="AB8" s="128">
        <f>IF(AND(D8="Jour férié semaine",((G8-F8)+(I8-H8)+(K8-J8)=0)),VLOOKUP(D8,Systeemgegevens!$J:$K,2,FALSE),0)</f>
        <v>0</v>
      </c>
      <c r="AC8" s="43">
        <f>IF(AND(NOT(ISERROR(FIND("Congé",D8))),ISERROR(FIND("1/2",D8)),ISERROR(FIND("Synd",D8)),ISERROR(FIND("synd",D8)),(G8-F8+I8-H8+K8-J8)=0),VLOOKUP(D8,Systeemgegevens!$J:$K,2,FALSE),IF(AND(NOT(ISERROR(FIND("1/2 Congé + ",D8))),(G8-F8+I8-H8+K8-J8)=0),VLOOKUP(D8,Systeemgegevens!$J:$K,2,FALSE)/2,IF(AND(NOT(ISERROR(FIND("1/2 Congé",D8))),ISERROR(FIND(" + ",D8)),ISERROR(FIND("1/2 Congé Synd.",D8))),VLOOKUP(D8,Systeemgegevens!$J:$K,2,FALSE),0)))</f>
        <v>0</v>
      </c>
      <c r="AD8" s="43">
        <f>IF(AND(OR(D8="1/2 Congé Synd.",D8="Congé Synd."),((G8-F8)+(I8-H8)+(K8-J8)=0)),VLOOKUP(D8,Systeemgegevens!$J:$K,2,FALSE),IF(AND(D8="1/2 Congé + 1/2 synd.",((G8-F8)+(I8-H8)+(K8-J8)=0)),AC8,0))</f>
        <v>0</v>
      </c>
      <c r="AE8" s="43">
        <f>IF(AND(D8="Jour de pont",((G8-F8)+(I8-H8)+(K8-J8)=0)),VLOOKUP(D8,Systeemgegevens!$J:$K,2,FALSE),0)</f>
        <v>0</v>
      </c>
      <c r="AF8" s="43">
        <f>IF(AND(D8="Jour libre 4/5",AND((G8-F8)+(I8-H8)+(K8-J8)=0)),VLOOKUP(D8,Systeemgegevens!$J:$K,2,FALSE),0)</f>
        <v>0</v>
      </c>
      <c r="AG8" s="118">
        <f>IF(AND(D8&lt;&gt;"",SUM(AB8:AF8)=0,D8&lt;&gt;$AB$4,D8&lt;&gt;$AC$4,D8&lt;&gt;$AD$4,D8&lt;&gt;$AE$4,D8&lt;&gt;$AF$4),VLOOKUP(D8,Systeemgegevens!$J:$K,2,FALSE),0)</f>
        <v>0</v>
      </c>
      <c r="AH8" s="119">
        <f t="shared" ref="AH8:AH38" si="6">SUM(IF(AND(G8&gt;$AH$6,F8&lt;=$AH$6),G8-$AH$6,0),IF(F8&gt;$AH$6,G8-F8,0),IF(AND(I8&gt;$AH$6,H8&lt;=$AH$6),I8-$AH$6,0),IF(H8&gt;$AH$6,I8-H8,0),IF(AND(K8&gt;$AH$6,J8&lt;=$AH$6),K8-$AH$6,0),IF(J8&gt;$AH$6,K8-J8,0))</f>
        <v>0</v>
      </c>
      <c r="AI8" s="101">
        <f t="shared" ref="AI8:AI38" si="7">SUM(IF(AND(G8&gt;=$AI$7,F8&lt;$AI$7),$AI$7-F8,0),IF(G8&lt;$AI$7,G8-F8,0),IF(AND(I8&gt;=$AI$7,H8&lt;$AI$7),$AI$7-H8,0),IF(I8&lt;$AI$7,I8-H8,0),IF(AND(K8&gt;=$AI$7,J8&lt;$AI$7),$AI$7-J8,0),IF(K8&lt;$AI$7,K8-J8,0))</f>
        <v>0</v>
      </c>
      <c r="AJ8" s="118">
        <f>SUM(AH8:AI8)</f>
        <v>0</v>
      </c>
      <c r="AK8" s="119">
        <f t="shared" ref="AK8:AK38" si="8">SUM(IF(AND(G8&gt;$AK$6,F8&lt;=$AK$6),G8-$AK$6,0),IF(F8&gt;$AK$6,G8-F8,0),IF(AND(I8&gt;$AK$6,H8&lt;=$AK$6),I8-$AK$6,0),IF(H8&gt;$AK$6,I8-H8,0),IF(AND(K8&gt;$AK$6,J8&lt;=$AK$6),K8-$AK$6,0),IF(J8&gt;$AK$6,K8-J8,0))</f>
        <v>0</v>
      </c>
      <c r="AL8" s="101">
        <f t="shared" ref="AL8:AL38" si="9">SUM(IF(AND(G8&gt;=$AL$7,F8&lt;$AL$7),$AL$7-F8,0),IF(G8&lt;$AL$7,G8-F8,0),IF(AND(I8&gt;=$AL$7,H8&lt;$AL$7),$AL$7-H8,0),IF(I8&lt;$AL$7,I8-H8,0),IF(AND(K8&gt;=$AL$7,J8&lt;$AL$7),$AL$7-J8,0),IF(K8&lt;$AL$7,K8-J8,0))</f>
        <v>0</v>
      </c>
      <c r="AM8" s="43">
        <f>AH8-AK8</f>
        <v>0</v>
      </c>
      <c r="AN8" s="118">
        <f>AK8+AL8</f>
        <v>0</v>
      </c>
      <c r="AO8" s="122">
        <f t="shared" ref="AO8:AO38" si="10">SUM(IF(AND(F8&lt;=$AO$6,G8&gt;=$AO$7),1,0),IF(AND(H8&lt;=$AO$6,I8&gt;=$AO$7),1,0),IF(AND(J8&lt;=$AO$6,K8&gt;=$AO$7),1,0))</f>
        <v>0</v>
      </c>
      <c r="AP8" s="107">
        <f t="shared" ref="AP8:AP38" si="11">SUM(IF(AND(F8&lt;=$AP$6,G8&gt;=$AP$7),1,0),IF(AND(H8&lt;=$AP$6,I8&gt;=$AP$7),1,0),IF(AND(J8&lt;=$AP$6,K8&gt;=$AP$7),1,0))</f>
        <v>0</v>
      </c>
      <c r="AQ8" s="107">
        <f t="shared" ref="AQ8:AQ38" si="12">SUM(IF(AND(F8&lt;=$AQ$6,G8&gt;=$AQ$7),1,0),IF(AND(H8&lt;=$AQ$6,I8&gt;=$AQ$7),1,0),IF(AND(J8&lt;=$AQ$6,K8&gt;=$AQ$7),1,0))</f>
        <v>0</v>
      </c>
      <c r="AR8" s="123">
        <f t="shared" ref="AR8:AR38" si="13">SUM(IF(AND(F8&lt;=$AR$6,G8&gt;=$AR$7),1,0),IF(AND(H8&lt;=$AR$6,I8&gt;=$AR$7),1,0),IF(AND(J8&lt;=$AR$6,K8&gt;=$AR$7),1,0))</f>
        <v>0</v>
      </c>
      <c r="AS8" s="124">
        <f t="shared" ref="AS8:AS38" si="14">IF(OR(E8="M",E8="ME"),1,0)</f>
        <v>0</v>
      </c>
      <c r="AT8" s="124">
        <f t="shared" ref="AT8:AT38" si="15">IF(OR(E8="E",E8="ME"),1,0)</f>
        <v>0</v>
      </c>
      <c r="AU8" s="124">
        <f t="shared" ref="AU8:AU38" si="16">IF(AND(OR(D8="Jour férié semaine",D8="Jour de pont"),((G8-F8)+(I8-H8)+(K8-J8)&gt;0)),1,0)</f>
        <v>0</v>
      </c>
      <c r="AV8" s="117" t="s">
        <v>36</v>
      </c>
      <c r="AW8" s="129">
        <f>IF(($R$41=AV8)*AND($R$42&lt;&gt;""),VLOOKUP($R$42,'Barèmes police'!$B$4:$C$30,2),0)</f>
        <v>14703.88</v>
      </c>
      <c r="AX8" s="15"/>
      <c r="AY8" s="14"/>
      <c r="AZ8" s="269"/>
      <c r="BA8" s="154"/>
      <c r="BB8" s="154"/>
      <c r="BC8" s="154"/>
      <c r="BD8" s="154"/>
      <c r="BE8" s="154"/>
      <c r="BF8" s="154"/>
    </row>
    <row r="9" spans="1:58" ht="12.75" customHeight="1" x14ac:dyDescent="0.2">
      <c r="A9" s="34"/>
      <c r="B9" s="24" t="str">
        <f t="shared" si="0"/>
        <v>Lu</v>
      </c>
      <c r="C9" s="25">
        <f>C8+1</f>
        <v>45628</v>
      </c>
      <c r="D9" s="51"/>
      <c r="E9" s="116"/>
      <c r="F9" s="52"/>
      <c r="G9" s="53"/>
      <c r="H9" s="52"/>
      <c r="I9" s="53"/>
      <c r="J9" s="54"/>
      <c r="K9" s="55"/>
      <c r="L9" s="40">
        <f t="shared" si="1"/>
        <v>0</v>
      </c>
      <c r="M9" s="41">
        <f>M8+L9</f>
        <v>0.6333333333333333</v>
      </c>
      <c r="N9" s="42">
        <f>IF(AND(D9&lt;&gt;"Jour libre 4/5",B9&lt;&gt;"Sa",B9&lt;&gt;"Di"),SUM(N8,Configuration!$H$41),SUM(N8))</f>
        <v>6.9666666666666632</v>
      </c>
      <c r="O9" s="49" t="str">
        <f>IF(M9-N9-$M$4&gt;=0,"+","-")</f>
        <v>-</v>
      </c>
      <c r="P9" s="143">
        <f t="shared" ref="P9:P38" si="17">ABS(M9-N9-$M$4)</f>
        <v>6.3333333333333304</v>
      </c>
      <c r="Q9" s="167">
        <f t="shared" ref="Q9:T38" si="18">AO9</f>
        <v>0</v>
      </c>
      <c r="R9" s="168">
        <f t="shared" si="18"/>
        <v>0</v>
      </c>
      <c r="S9" s="168">
        <f t="shared" si="18"/>
        <v>0</v>
      </c>
      <c r="T9" s="169">
        <f t="shared" si="18"/>
        <v>0</v>
      </c>
      <c r="U9" s="97">
        <f t="shared" si="2"/>
        <v>0</v>
      </c>
      <c r="V9" s="97">
        <f t="shared" si="3"/>
        <v>0</v>
      </c>
      <c r="W9" s="97">
        <f t="shared" si="4"/>
        <v>0</v>
      </c>
      <c r="X9" s="97">
        <f t="shared" si="5"/>
        <v>0</v>
      </c>
      <c r="Y9" s="209"/>
      <c r="Z9" s="210"/>
      <c r="AA9" s="210"/>
      <c r="AB9" s="128">
        <f>IF(AND(D9="Jour férié semaine",((G9-F9)+(I9-H9)+(K9-J9)=0)),VLOOKUP(D9,Systeemgegevens!$J:$K,2,FALSE),0)</f>
        <v>0</v>
      </c>
      <c r="AC9" s="43">
        <f>IF(AND(NOT(ISERROR(FIND("Congé",D9))),ISERROR(FIND("1/2",D9)),ISERROR(FIND("Synd",D9)),ISERROR(FIND("synd",D9)),(G9-F9+I9-H9+K9-J9)=0),VLOOKUP(D9,Systeemgegevens!$J:$K,2,FALSE),IF(AND(NOT(ISERROR(FIND("1/2 Congé + ",D9))),(G9-F9+I9-H9+K9-J9)=0),VLOOKUP(D9,Systeemgegevens!$J:$K,2,FALSE)/2,IF(AND(NOT(ISERROR(FIND("1/2 Congé",D9))),ISERROR(FIND(" + ",D9)),ISERROR(FIND("1/2 Congé Synd.",D9))),VLOOKUP(D9,Systeemgegevens!$J:$K,2,FALSE),0)))</f>
        <v>0</v>
      </c>
      <c r="AD9" s="43">
        <f>IF(AND(OR(D9="1/2 Congé Synd.",D9="Congé Synd."),((G9-F9)+(I9-H9)+(K9-J9)=0)),VLOOKUP(D9,Systeemgegevens!$J:$K,2,FALSE),IF(AND(D9="1/2 Congé + 1/2 synd.",((G9-F9)+(I9-H9)+(K9-J9)=0)),AC9,0))</f>
        <v>0</v>
      </c>
      <c r="AE9" s="43">
        <f>IF(AND(D9="Jour de pont",((G9-F9)+(I9-H9)+(K9-J9)=0)),VLOOKUP(D9,Systeemgegevens!$J:$K,2,FALSE),0)</f>
        <v>0</v>
      </c>
      <c r="AF9" s="43">
        <f>IF(AND(D9="Jour libre 4/5",AND((G9-F9)+(I9-H9)+(K9-J9)=0)),VLOOKUP(D9,Systeemgegevens!$J:$K,2,FALSE),0)</f>
        <v>0</v>
      </c>
      <c r="AG9" s="118">
        <f>IF(AND(D9&lt;&gt;"",SUM(AB9:AF9)=0,D9&lt;&gt;$AB$4,D9&lt;&gt;$AC$4,D9&lt;&gt;$AE$4,D9&lt;&gt;$AF$4),VLOOKUP(D9,Systeemgegevens!$J:$K,2,FALSE),0)</f>
        <v>0</v>
      </c>
      <c r="AH9" s="119">
        <f t="shared" si="6"/>
        <v>0</v>
      </c>
      <c r="AI9" s="101">
        <f t="shared" si="7"/>
        <v>0</v>
      </c>
      <c r="AJ9" s="118">
        <f t="shared" ref="AJ9:AJ38" si="19">SUM(AH9:AI9)</f>
        <v>0</v>
      </c>
      <c r="AK9" s="119">
        <f t="shared" si="8"/>
        <v>0</v>
      </c>
      <c r="AL9" s="101">
        <f t="shared" si="9"/>
        <v>0</v>
      </c>
      <c r="AM9" s="43">
        <f t="shared" ref="AM9:AM38" si="20">AH9-AK9</f>
        <v>0</v>
      </c>
      <c r="AN9" s="118">
        <f t="shared" ref="AN9:AN38" si="21">AK9+AL9</f>
        <v>0</v>
      </c>
      <c r="AO9" s="122">
        <f t="shared" si="10"/>
        <v>0</v>
      </c>
      <c r="AP9" s="107">
        <f t="shared" si="11"/>
        <v>0</v>
      </c>
      <c r="AQ9" s="107">
        <f t="shared" si="12"/>
        <v>0</v>
      </c>
      <c r="AR9" s="123">
        <f t="shared" si="13"/>
        <v>0</v>
      </c>
      <c r="AS9" s="124">
        <f t="shared" si="14"/>
        <v>0</v>
      </c>
      <c r="AT9" s="124">
        <f t="shared" si="15"/>
        <v>0</v>
      </c>
      <c r="AU9" s="124">
        <f t="shared" si="16"/>
        <v>0</v>
      </c>
      <c r="AV9" s="117" t="s">
        <v>35</v>
      </c>
      <c r="AW9" s="129">
        <f>IF(($R$41=AV9)*AND($R$42&lt;&gt;""),VLOOKUP($R$42,'Barèmes police'!$E$4:$F$30,2),0)</f>
        <v>0</v>
      </c>
      <c r="AX9" s="16" t="str">
        <f>IF('Types de jours'!F15&lt;&gt;"",'Types de jours'!F15,"")</f>
        <v>Congé</v>
      </c>
      <c r="AY9" s="144">
        <f>IF(AX9&lt;&gt;"",'Types de jours'!I15,"")</f>
        <v>0.31666666666666665</v>
      </c>
      <c r="AZ9" s="269"/>
      <c r="BA9" s="154"/>
      <c r="BB9" s="154"/>
      <c r="BC9" s="154"/>
      <c r="BD9" s="154"/>
      <c r="BE9" s="154"/>
      <c r="BF9" s="154"/>
    </row>
    <row r="10" spans="1:58" ht="12.75" customHeight="1" x14ac:dyDescent="0.2">
      <c r="A10" s="34"/>
      <c r="B10" s="24" t="str">
        <f t="shared" si="0"/>
        <v>Ma</v>
      </c>
      <c r="C10" s="25">
        <f t="shared" ref="C10:C38" si="22">C9+1</f>
        <v>45629</v>
      </c>
      <c r="D10" s="51"/>
      <c r="E10" s="116"/>
      <c r="F10" s="52"/>
      <c r="G10" s="53"/>
      <c r="H10" s="52"/>
      <c r="I10" s="53"/>
      <c r="J10" s="54"/>
      <c r="K10" s="55"/>
      <c r="L10" s="40">
        <f t="shared" si="1"/>
        <v>0</v>
      </c>
      <c r="M10" s="41">
        <f t="shared" ref="M10:M37" si="23">M9+L10</f>
        <v>0.6333333333333333</v>
      </c>
      <c r="N10" s="42">
        <f>IF(AND(D10&lt;&gt;"Jour libre 4/5",B10&lt;&gt;"Sa",B10&lt;&gt;"Di"),SUM(N9,Configuration!$H$41),SUM(N9))</f>
        <v>7.2833333333333297</v>
      </c>
      <c r="O10" s="49" t="str">
        <f t="shared" ref="O10:O38" si="24">IF(M10-N10-$M$4&gt;=0,"+","-")</f>
        <v>-</v>
      </c>
      <c r="P10" s="143">
        <f t="shared" si="17"/>
        <v>6.6499999999999968</v>
      </c>
      <c r="Q10" s="167">
        <f t="shared" si="18"/>
        <v>0</v>
      </c>
      <c r="R10" s="168">
        <f t="shared" si="18"/>
        <v>0</v>
      </c>
      <c r="S10" s="168">
        <f t="shared" si="18"/>
        <v>0</v>
      </c>
      <c r="T10" s="169">
        <f t="shared" si="18"/>
        <v>0</v>
      </c>
      <c r="U10" s="97">
        <f t="shared" si="2"/>
        <v>0</v>
      </c>
      <c r="V10" s="97">
        <f t="shared" si="3"/>
        <v>0</v>
      </c>
      <c r="W10" s="97">
        <f t="shared" si="4"/>
        <v>0</v>
      </c>
      <c r="X10" s="97">
        <f t="shared" si="5"/>
        <v>0</v>
      </c>
      <c r="Y10" s="209"/>
      <c r="Z10" s="210"/>
      <c r="AA10" s="210"/>
      <c r="AB10" s="128">
        <f>IF(AND(D10="Jour férié semaine",((G10-F10)+(I10-H10)+(K10-J10)=0)),VLOOKUP(D10,Systeemgegevens!$J:$K,2,FALSE),0)</f>
        <v>0</v>
      </c>
      <c r="AC10" s="43">
        <f>IF(AND(NOT(ISERROR(FIND("Congé",D10))),ISERROR(FIND("1/2",D10)),ISERROR(FIND("Synd",D10)),ISERROR(FIND("synd",D10)),(G10-F10+I10-H10+K10-J10)=0),VLOOKUP(D10,Systeemgegevens!$J:$K,2,FALSE),IF(AND(NOT(ISERROR(FIND("1/2 Congé + ",D10))),(G10-F10+I10-H10+K10-J10)=0),VLOOKUP(D10,Systeemgegevens!$J:$K,2,FALSE)/2,IF(AND(NOT(ISERROR(FIND("1/2 Congé",D10))),ISERROR(FIND(" + ",D10)),ISERROR(FIND("1/2 Congé Synd.",D10))),VLOOKUP(D10,Systeemgegevens!$J:$K,2,FALSE),0)))</f>
        <v>0</v>
      </c>
      <c r="AD10" s="43">
        <f>IF(AND(OR(D10="1/2 Congé Synd.",D10="Congé Synd."),((G10-F10)+(I10-H10)+(K10-J10)=0)),VLOOKUP(D10,Systeemgegevens!$J:$K,2,FALSE),IF(AND(D10="1/2 Congé + 1/2 synd.",((G10-F10)+(I10-H10)+(K10-J10)=0)),AC10,0))</f>
        <v>0</v>
      </c>
      <c r="AE10" s="43">
        <f>IF(AND(D10="Jour de pont",((G10-F10)+(I10-H10)+(K10-J10)=0)),VLOOKUP(D10,Systeemgegevens!$J:$K,2,FALSE),0)</f>
        <v>0</v>
      </c>
      <c r="AF10" s="43">
        <f>IF(AND(D10="Jour libre 4/5",AND((G10-F10)+(I10-H10)+(K10-J10)=0)),VLOOKUP(D10,Systeemgegevens!$J:$K,2,FALSE),0)</f>
        <v>0</v>
      </c>
      <c r="AG10" s="118">
        <f>IF(AND(D10&lt;&gt;"",SUM(AB10:AF10)=0,D10&lt;&gt;$AB$4,D10&lt;&gt;$AC$4,D10&lt;&gt;$AE$4,D10&lt;&gt;$AF$4),VLOOKUP(D10,Systeemgegevens!$J:$K,2,FALSE),0)</f>
        <v>0</v>
      </c>
      <c r="AH10" s="119">
        <f t="shared" si="6"/>
        <v>0</v>
      </c>
      <c r="AI10" s="101">
        <f t="shared" si="7"/>
        <v>0</v>
      </c>
      <c r="AJ10" s="118">
        <f t="shared" si="19"/>
        <v>0</v>
      </c>
      <c r="AK10" s="119">
        <f t="shared" si="8"/>
        <v>0</v>
      </c>
      <c r="AL10" s="101">
        <f t="shared" si="9"/>
        <v>0</v>
      </c>
      <c r="AM10" s="43">
        <f t="shared" si="20"/>
        <v>0</v>
      </c>
      <c r="AN10" s="118">
        <f t="shared" si="21"/>
        <v>0</v>
      </c>
      <c r="AO10" s="122">
        <f t="shared" si="10"/>
        <v>0</v>
      </c>
      <c r="AP10" s="107">
        <f t="shared" si="11"/>
        <v>0</v>
      </c>
      <c r="AQ10" s="107">
        <f t="shared" si="12"/>
        <v>0</v>
      </c>
      <c r="AR10" s="123">
        <f t="shared" si="13"/>
        <v>0</v>
      </c>
      <c r="AS10" s="124">
        <f t="shared" si="14"/>
        <v>0</v>
      </c>
      <c r="AT10" s="124">
        <f t="shared" si="15"/>
        <v>0</v>
      </c>
      <c r="AU10" s="124">
        <f t="shared" si="16"/>
        <v>0</v>
      </c>
      <c r="AV10" s="117" t="s">
        <v>34</v>
      </c>
      <c r="AW10" s="129">
        <f>IF(($R$41=AV10)*AND($R$42&lt;&gt;""),VLOOKUP($R$42,'Barèmes police'!$H$4:$I$30,2),0)</f>
        <v>0</v>
      </c>
      <c r="AX10" s="16" t="str">
        <f>IF('Types de jours'!F16&lt;&gt;"",'Types de jours'!F16,"")</f>
        <v>1/2 Congé</v>
      </c>
      <c r="AY10" s="144">
        <f>IF(AX10&lt;&gt;"",'Types de jours'!I16,"")</f>
        <v>0.15833333333333333</v>
      </c>
      <c r="AZ10" s="269"/>
      <c r="BA10" s="154"/>
      <c r="BB10" s="154"/>
      <c r="BC10" s="154"/>
      <c r="BD10" s="154"/>
      <c r="BE10" s="154"/>
      <c r="BF10" s="154"/>
    </row>
    <row r="11" spans="1:58" ht="12.75" customHeight="1" x14ac:dyDescent="0.2">
      <c r="A11" s="34"/>
      <c r="B11" s="24" t="str">
        <f t="shared" si="0"/>
        <v>Me</v>
      </c>
      <c r="C11" s="25">
        <f t="shared" si="22"/>
        <v>45630</v>
      </c>
      <c r="D11" s="51"/>
      <c r="E11" s="116"/>
      <c r="F11" s="52"/>
      <c r="G11" s="53"/>
      <c r="H11" s="52"/>
      <c r="I11" s="53"/>
      <c r="J11" s="54"/>
      <c r="K11" s="55"/>
      <c r="L11" s="40">
        <f t="shared" si="1"/>
        <v>0</v>
      </c>
      <c r="M11" s="41">
        <f t="shared" si="23"/>
        <v>0.6333333333333333</v>
      </c>
      <c r="N11" s="42">
        <f>IF(AND(D11&lt;&gt;"Jour libre 4/5",B11&lt;&gt;"Sa",B11&lt;&gt;"Di"),SUM(N10,Configuration!$H$41),SUM(N10))</f>
        <v>7.5999999999999961</v>
      </c>
      <c r="O11" s="49" t="str">
        <f t="shared" si="24"/>
        <v>-</v>
      </c>
      <c r="P11" s="143">
        <f t="shared" si="17"/>
        <v>6.9666666666666632</v>
      </c>
      <c r="Q11" s="167">
        <f t="shared" si="18"/>
        <v>0</v>
      </c>
      <c r="R11" s="168">
        <f t="shared" si="18"/>
        <v>0</v>
      </c>
      <c r="S11" s="168">
        <f t="shared" si="18"/>
        <v>0</v>
      </c>
      <c r="T11" s="169">
        <f t="shared" si="18"/>
        <v>0</v>
      </c>
      <c r="U11" s="97">
        <f t="shared" si="2"/>
        <v>0</v>
      </c>
      <c r="V11" s="97">
        <f t="shared" si="3"/>
        <v>0</v>
      </c>
      <c r="W11" s="97">
        <f t="shared" si="4"/>
        <v>0</v>
      </c>
      <c r="X11" s="97">
        <f t="shared" si="5"/>
        <v>0</v>
      </c>
      <c r="Y11" s="209"/>
      <c r="Z11" s="210"/>
      <c r="AA11" s="210"/>
      <c r="AB11" s="128">
        <f>IF(AND(D11="Jour férié semaine",((G11-F11)+(I11-H11)+(K11-J11)=0)),VLOOKUP(D11,Systeemgegevens!$J:$K,2,FALSE),0)</f>
        <v>0</v>
      </c>
      <c r="AC11" s="43">
        <f>IF(AND(NOT(ISERROR(FIND("Congé",D11))),ISERROR(FIND("1/2",D11)),ISERROR(FIND("Synd",D11)),ISERROR(FIND("synd",D11)),(G11-F11+I11-H11+K11-J11)=0),VLOOKUP(D11,Systeemgegevens!$J:$K,2,FALSE),IF(AND(NOT(ISERROR(FIND("1/2 Congé + ",D11))),(G11-F11+I11-H11+K11-J11)=0),VLOOKUP(D11,Systeemgegevens!$J:$K,2,FALSE)/2,IF(AND(NOT(ISERROR(FIND("1/2 Congé",D11))),ISERROR(FIND(" + ",D11)),ISERROR(FIND("1/2 Congé Synd.",D11))),VLOOKUP(D11,Systeemgegevens!$J:$K,2,FALSE),0)))</f>
        <v>0</v>
      </c>
      <c r="AD11" s="43">
        <f>IF(AND(OR(D11="1/2 Congé Synd.",D11="Congé Synd."),((G11-F11)+(I11-H11)+(K11-J11)=0)),VLOOKUP(D11,Systeemgegevens!$J:$K,2,FALSE),IF(AND(D11="1/2 Congé + 1/2 synd.",((G11-F11)+(I11-H11)+(K11-J11)=0)),AC11,0))</f>
        <v>0</v>
      </c>
      <c r="AE11" s="43">
        <f>IF(AND(D11="Jour de pont",((G11-F11)+(I11-H11)+(K11-J11)=0)),VLOOKUP(D11,Systeemgegevens!$J:$K,2,FALSE),0)</f>
        <v>0</v>
      </c>
      <c r="AF11" s="43">
        <f>IF(AND(D11="Jour libre 4/5",AND((G11-F11)+(I11-H11)+(K11-J11)=0)),VLOOKUP(D11,Systeemgegevens!$J:$K,2,FALSE),0)</f>
        <v>0</v>
      </c>
      <c r="AG11" s="118">
        <f>IF(AND(D11&lt;&gt;"",SUM(AB11:AF11)=0,D11&lt;&gt;$AB$4,D11&lt;&gt;$AC$4,D11&lt;&gt;$AE$4,D11&lt;&gt;$AF$4),VLOOKUP(D11,Systeemgegevens!$J:$K,2,FALSE),0)</f>
        <v>0</v>
      </c>
      <c r="AH11" s="119">
        <f t="shared" si="6"/>
        <v>0</v>
      </c>
      <c r="AI11" s="101">
        <f t="shared" si="7"/>
        <v>0</v>
      </c>
      <c r="AJ11" s="118">
        <f t="shared" si="19"/>
        <v>0</v>
      </c>
      <c r="AK11" s="119">
        <f t="shared" si="8"/>
        <v>0</v>
      </c>
      <c r="AL11" s="101">
        <f t="shared" si="9"/>
        <v>0</v>
      </c>
      <c r="AM11" s="43">
        <f t="shared" si="20"/>
        <v>0</v>
      </c>
      <c r="AN11" s="118">
        <f t="shared" si="21"/>
        <v>0</v>
      </c>
      <c r="AO11" s="122">
        <f t="shared" si="10"/>
        <v>0</v>
      </c>
      <c r="AP11" s="107">
        <f t="shared" si="11"/>
        <v>0</v>
      </c>
      <c r="AQ11" s="107">
        <f t="shared" si="12"/>
        <v>0</v>
      </c>
      <c r="AR11" s="123">
        <f t="shared" si="13"/>
        <v>0</v>
      </c>
      <c r="AS11" s="124">
        <f t="shared" si="14"/>
        <v>0</v>
      </c>
      <c r="AT11" s="124">
        <f t="shared" si="15"/>
        <v>0</v>
      </c>
      <c r="AU11" s="124">
        <f t="shared" si="16"/>
        <v>0</v>
      </c>
      <c r="AV11" s="117" t="s">
        <v>268</v>
      </c>
      <c r="AW11" s="129">
        <f>IF(($R$41=AV11)*AND($R$42&lt;&gt;""),VLOOKUP($R$42,'Barèmes police'!$K$4:$L$30,2),0)</f>
        <v>0</v>
      </c>
      <c r="AX11" s="16" t="str">
        <f>IF('Types de jours'!F17&lt;&gt;"",'Types de jours'!F17,"")</f>
        <v>Malade</v>
      </c>
      <c r="AY11" s="144">
        <f>IF(AX11&lt;&gt;"",'Types de jours'!I17,"")</f>
        <v>0.31666666666666665</v>
      </c>
      <c r="AZ11" s="269"/>
      <c r="BA11" s="154"/>
      <c r="BB11" s="154"/>
      <c r="BC11" s="154"/>
      <c r="BD11" s="154"/>
      <c r="BE11" s="154"/>
      <c r="BF11" s="154"/>
    </row>
    <row r="12" spans="1:58" ht="12.75" customHeight="1" x14ac:dyDescent="0.2">
      <c r="A12" s="34"/>
      <c r="B12" s="24" t="str">
        <f t="shared" si="0"/>
        <v>Je</v>
      </c>
      <c r="C12" s="25">
        <f t="shared" si="22"/>
        <v>45631</v>
      </c>
      <c r="D12" s="51"/>
      <c r="E12" s="116"/>
      <c r="F12" s="52"/>
      <c r="G12" s="53"/>
      <c r="H12" s="52"/>
      <c r="I12" s="53"/>
      <c r="J12" s="54"/>
      <c r="K12" s="55"/>
      <c r="L12" s="40">
        <f t="shared" si="1"/>
        <v>0</v>
      </c>
      <c r="M12" s="41">
        <f t="shared" si="23"/>
        <v>0.6333333333333333</v>
      </c>
      <c r="N12" s="42">
        <f>IF(AND(D12&lt;&gt;"Jour libre 4/5",B12&lt;&gt;"Sa",B12&lt;&gt;"Di"),SUM(N11,Configuration!$H$41),SUM(N11))</f>
        <v>7.9166666666666625</v>
      </c>
      <c r="O12" s="49" t="str">
        <f t="shared" si="24"/>
        <v>-</v>
      </c>
      <c r="P12" s="143">
        <f t="shared" si="17"/>
        <v>7.2833333333333297</v>
      </c>
      <c r="Q12" s="167">
        <f t="shared" si="18"/>
        <v>0</v>
      </c>
      <c r="R12" s="168">
        <f t="shared" si="18"/>
        <v>0</v>
      </c>
      <c r="S12" s="168">
        <f t="shared" si="18"/>
        <v>0</v>
      </c>
      <c r="T12" s="169">
        <f t="shared" si="18"/>
        <v>0</v>
      </c>
      <c r="U12" s="97">
        <f t="shared" si="2"/>
        <v>0</v>
      </c>
      <c r="V12" s="97">
        <f t="shared" si="3"/>
        <v>0</v>
      </c>
      <c r="W12" s="97">
        <f t="shared" si="4"/>
        <v>0</v>
      </c>
      <c r="X12" s="97">
        <f t="shared" si="5"/>
        <v>0</v>
      </c>
      <c r="Y12" s="209"/>
      <c r="Z12" s="210"/>
      <c r="AA12" s="210"/>
      <c r="AB12" s="128">
        <f>IF(AND(D12="Jour férié semaine",((G12-F12)+(I12-H12)+(K12-J12)=0)),VLOOKUP(D12,Systeemgegevens!$J:$K,2,FALSE),0)</f>
        <v>0</v>
      </c>
      <c r="AC12" s="43">
        <f>IF(AND(NOT(ISERROR(FIND("Congé",D12))),ISERROR(FIND("1/2",D12)),ISERROR(FIND("Synd",D12)),ISERROR(FIND("synd",D12)),(G12-F12+I12-H12+K12-J12)=0),VLOOKUP(D12,Systeemgegevens!$J:$K,2,FALSE),IF(AND(NOT(ISERROR(FIND("1/2 Congé + ",D12))),(G12-F12+I12-H12+K12-J12)=0),VLOOKUP(D12,Systeemgegevens!$J:$K,2,FALSE)/2,IF(AND(NOT(ISERROR(FIND("1/2 Congé",D12))),ISERROR(FIND(" + ",D12)),ISERROR(FIND("1/2 Congé Synd.",D12))),VLOOKUP(D12,Systeemgegevens!$J:$K,2,FALSE),0)))</f>
        <v>0</v>
      </c>
      <c r="AD12" s="43">
        <f>IF(AND(OR(D12="1/2 Congé Synd.",D12="Congé Synd."),((G12-F12)+(I12-H12)+(K12-J12)=0)),VLOOKUP(D12,Systeemgegevens!$J:$K,2,FALSE),IF(AND(D12="1/2 Congé + 1/2 synd.",((G12-F12)+(I12-H12)+(K12-J12)=0)),AC12,0))</f>
        <v>0</v>
      </c>
      <c r="AE12" s="43">
        <f>IF(AND(D12="Jour de pont",((G12-F12)+(I12-H12)+(K12-J12)=0)),VLOOKUP(D12,Systeemgegevens!$J:$K,2,FALSE),0)</f>
        <v>0</v>
      </c>
      <c r="AF12" s="43">
        <f>IF(AND(D12="Jour libre 4/5",AND((G12-F12)+(I12-H12)+(K12-J12)=0)),VLOOKUP(D12,Systeemgegevens!$J:$K,2,FALSE),0)</f>
        <v>0</v>
      </c>
      <c r="AG12" s="118">
        <f>IF(AND(D12&lt;&gt;"",SUM(AB12:AF12)=0,D12&lt;&gt;$AB$4,D12&lt;&gt;$AC$4,D12&lt;&gt;$AE$4,D12&lt;&gt;$AF$4),VLOOKUP(D12,Systeemgegevens!$J:$K,2,FALSE),0)</f>
        <v>0</v>
      </c>
      <c r="AH12" s="119">
        <f t="shared" si="6"/>
        <v>0</v>
      </c>
      <c r="AI12" s="101">
        <f t="shared" si="7"/>
        <v>0</v>
      </c>
      <c r="AJ12" s="118">
        <f t="shared" si="19"/>
        <v>0</v>
      </c>
      <c r="AK12" s="119">
        <f t="shared" si="8"/>
        <v>0</v>
      </c>
      <c r="AL12" s="101">
        <f t="shared" si="9"/>
        <v>0</v>
      </c>
      <c r="AM12" s="43">
        <f t="shared" si="20"/>
        <v>0</v>
      </c>
      <c r="AN12" s="118">
        <f t="shared" si="21"/>
        <v>0</v>
      </c>
      <c r="AO12" s="122">
        <f t="shared" si="10"/>
        <v>0</v>
      </c>
      <c r="AP12" s="107">
        <f t="shared" si="11"/>
        <v>0</v>
      </c>
      <c r="AQ12" s="107">
        <f t="shared" si="12"/>
        <v>0</v>
      </c>
      <c r="AR12" s="123">
        <f t="shared" si="13"/>
        <v>0</v>
      </c>
      <c r="AS12" s="124">
        <f t="shared" si="14"/>
        <v>0</v>
      </c>
      <c r="AT12" s="124">
        <f t="shared" si="15"/>
        <v>0</v>
      </c>
      <c r="AU12" s="124">
        <f t="shared" si="16"/>
        <v>0</v>
      </c>
      <c r="AV12" s="117" t="s">
        <v>33</v>
      </c>
      <c r="AW12" s="129">
        <f>IF(($R$41=AV12)*AND($R$42&lt;&gt;""),VLOOKUP($R$42,'Barèmes police'!$N$4:$O$30,2),0)</f>
        <v>0</v>
      </c>
      <c r="AX12" s="16" t="str">
        <f>IF('Types de jours'!F18&lt;&gt;"",'Types de jours'!F18,"")</f>
        <v>Acc. de travail</v>
      </c>
      <c r="AY12" s="144">
        <f>IF(AX12&lt;&gt;"",'Types de jours'!I18,"")</f>
        <v>0.31666666666666665</v>
      </c>
      <c r="AZ12" s="269"/>
      <c r="BA12" s="154"/>
      <c r="BB12" s="154"/>
      <c r="BC12" s="154"/>
      <c r="BD12" s="154"/>
      <c r="BE12" s="154"/>
      <c r="BF12" s="154"/>
    </row>
    <row r="13" spans="1:58" ht="12.75" customHeight="1" x14ac:dyDescent="0.2">
      <c r="A13" s="34"/>
      <c r="B13" s="24" t="str">
        <f t="shared" si="0"/>
        <v>Ve</v>
      </c>
      <c r="C13" s="25">
        <f t="shared" si="22"/>
        <v>45632</v>
      </c>
      <c r="D13" s="51"/>
      <c r="E13" s="116"/>
      <c r="F13" s="52"/>
      <c r="G13" s="53"/>
      <c r="H13" s="52"/>
      <c r="I13" s="53"/>
      <c r="J13" s="54"/>
      <c r="K13" s="55"/>
      <c r="L13" s="40">
        <f t="shared" si="1"/>
        <v>0</v>
      </c>
      <c r="M13" s="41">
        <f t="shared" si="23"/>
        <v>0.6333333333333333</v>
      </c>
      <c r="N13" s="42">
        <f>IF(AND(D13&lt;&gt;"Jour libre 4/5",B13&lt;&gt;"Sa",B13&lt;&gt;"Di"),SUM(N12,Configuration!$H$41),SUM(N12))</f>
        <v>8.233333333333329</v>
      </c>
      <c r="O13" s="49" t="str">
        <f t="shared" si="24"/>
        <v>-</v>
      </c>
      <c r="P13" s="143">
        <f t="shared" si="17"/>
        <v>7.5999999999999961</v>
      </c>
      <c r="Q13" s="167">
        <f t="shared" si="18"/>
        <v>0</v>
      </c>
      <c r="R13" s="168">
        <f t="shared" si="18"/>
        <v>0</v>
      </c>
      <c r="S13" s="168">
        <f t="shared" si="18"/>
        <v>0</v>
      </c>
      <c r="T13" s="169">
        <f t="shared" si="18"/>
        <v>0</v>
      </c>
      <c r="U13" s="97">
        <f t="shared" si="2"/>
        <v>0</v>
      </c>
      <c r="V13" s="97">
        <f t="shared" si="3"/>
        <v>0</v>
      </c>
      <c r="W13" s="97">
        <f t="shared" si="4"/>
        <v>0</v>
      </c>
      <c r="X13" s="97">
        <f t="shared" si="5"/>
        <v>0</v>
      </c>
      <c r="Y13" s="209"/>
      <c r="Z13" s="210"/>
      <c r="AA13" s="210"/>
      <c r="AB13" s="128">
        <f>IF(AND(D13="Jour férié semaine",((G13-F13)+(I13-H13)+(K13-J13)=0)),VLOOKUP(D13,Systeemgegevens!$J:$K,2,FALSE),0)</f>
        <v>0</v>
      </c>
      <c r="AC13" s="43">
        <f>IF(AND(NOT(ISERROR(FIND("Congé",D13))),ISERROR(FIND("1/2",D13)),ISERROR(FIND("Synd",D13)),ISERROR(FIND("synd",D13)),(G13-F13+I13-H13+K13-J13)=0),VLOOKUP(D13,Systeemgegevens!$J:$K,2,FALSE),IF(AND(NOT(ISERROR(FIND("1/2 Congé + ",D13))),(G13-F13+I13-H13+K13-J13)=0),VLOOKUP(D13,Systeemgegevens!$J:$K,2,FALSE)/2,IF(AND(NOT(ISERROR(FIND("1/2 Congé",D13))),ISERROR(FIND(" + ",D13)),ISERROR(FIND("1/2 Congé Synd.",D13))),VLOOKUP(D13,Systeemgegevens!$J:$K,2,FALSE),0)))</f>
        <v>0</v>
      </c>
      <c r="AD13" s="43">
        <f>IF(AND(OR(D13="1/2 Congé Synd.",D13="Congé Synd."),((G13-F13)+(I13-H13)+(K13-J13)=0)),VLOOKUP(D13,Systeemgegevens!$J:$K,2,FALSE),IF(AND(D13="1/2 Congé + 1/2 synd.",((G13-F13)+(I13-H13)+(K13-J13)=0)),AC13,0))</f>
        <v>0</v>
      </c>
      <c r="AE13" s="43">
        <f>IF(AND(D13="Jour de pont",((G13-F13)+(I13-H13)+(K13-J13)=0)),VLOOKUP(D13,Systeemgegevens!$J:$K,2,FALSE),0)</f>
        <v>0</v>
      </c>
      <c r="AF13" s="43">
        <f>IF(AND(D13="Jour libre 4/5",AND((G13-F13)+(I13-H13)+(K13-J13)=0)),VLOOKUP(D13,Systeemgegevens!$J:$K,2,FALSE),0)</f>
        <v>0</v>
      </c>
      <c r="AG13" s="118">
        <f>IF(AND(D13&lt;&gt;"",SUM(AB13:AF13)=0,D13&lt;&gt;$AB$4,D13&lt;&gt;$AC$4,D13&lt;&gt;$AE$4,D13&lt;&gt;$AF$4),VLOOKUP(D13,Systeemgegevens!$J:$K,2,FALSE),0)</f>
        <v>0</v>
      </c>
      <c r="AH13" s="119">
        <f t="shared" si="6"/>
        <v>0</v>
      </c>
      <c r="AI13" s="101">
        <f t="shared" si="7"/>
        <v>0</v>
      </c>
      <c r="AJ13" s="118">
        <f t="shared" si="19"/>
        <v>0</v>
      </c>
      <c r="AK13" s="119">
        <f t="shared" si="8"/>
        <v>0</v>
      </c>
      <c r="AL13" s="101">
        <f t="shared" si="9"/>
        <v>0</v>
      </c>
      <c r="AM13" s="43">
        <f t="shared" si="20"/>
        <v>0</v>
      </c>
      <c r="AN13" s="118">
        <f t="shared" si="21"/>
        <v>0</v>
      </c>
      <c r="AO13" s="122">
        <f t="shared" si="10"/>
        <v>0</v>
      </c>
      <c r="AP13" s="107">
        <f t="shared" si="11"/>
        <v>0</v>
      </c>
      <c r="AQ13" s="107">
        <f t="shared" si="12"/>
        <v>0</v>
      </c>
      <c r="AR13" s="123">
        <f t="shared" si="13"/>
        <v>0</v>
      </c>
      <c r="AS13" s="124">
        <f t="shared" si="14"/>
        <v>0</v>
      </c>
      <c r="AT13" s="124">
        <f t="shared" si="15"/>
        <v>0</v>
      </c>
      <c r="AU13" s="124">
        <f t="shared" si="16"/>
        <v>0</v>
      </c>
      <c r="AV13" s="117" t="s">
        <v>32</v>
      </c>
      <c r="AW13" s="129">
        <f>IF(($R$41=AV13)*AND($R$42&lt;&gt;""),VLOOKUP($R$42,'Barèmes police'!$Q$4:$R$30,2),0)</f>
        <v>0</v>
      </c>
      <c r="AX13" s="16" t="str">
        <f>IF('Types de jours'!F19&lt;&gt;"",'Types de jours'!F19,"")</f>
        <v>Congé Synd.</v>
      </c>
      <c r="AY13" s="144">
        <f>IF(AX13&lt;&gt;"",'Types de jours'!I19,"")</f>
        <v>0.31666666666666665</v>
      </c>
      <c r="AZ13" s="269"/>
      <c r="BA13" s="154"/>
      <c r="BB13" s="154"/>
      <c r="BC13" s="154"/>
      <c r="BD13" s="154"/>
      <c r="BE13" s="154"/>
      <c r="BF13" s="154"/>
    </row>
    <row r="14" spans="1:58" ht="12.75" customHeight="1" x14ac:dyDescent="0.2">
      <c r="A14" s="34"/>
      <c r="B14" s="24" t="str">
        <f t="shared" si="0"/>
        <v>Sa</v>
      </c>
      <c r="C14" s="25">
        <f t="shared" si="22"/>
        <v>45633</v>
      </c>
      <c r="D14" s="51"/>
      <c r="E14" s="116"/>
      <c r="F14" s="52"/>
      <c r="G14" s="53"/>
      <c r="H14" s="52"/>
      <c r="I14" s="53"/>
      <c r="J14" s="54"/>
      <c r="K14" s="55"/>
      <c r="L14" s="40">
        <f t="shared" si="1"/>
        <v>0</v>
      </c>
      <c r="M14" s="41">
        <f t="shared" si="23"/>
        <v>0.6333333333333333</v>
      </c>
      <c r="N14" s="42">
        <f>IF(AND(D14&lt;&gt;"Jour libre 4/5",B14&lt;&gt;"Sa",B14&lt;&gt;"Di"),SUM(N13,Configuration!$H$41),SUM(N13))</f>
        <v>8.233333333333329</v>
      </c>
      <c r="O14" s="49" t="str">
        <f t="shared" si="24"/>
        <v>-</v>
      </c>
      <c r="P14" s="143">
        <f t="shared" si="17"/>
        <v>7.5999999999999961</v>
      </c>
      <c r="Q14" s="167">
        <f t="shared" si="18"/>
        <v>0</v>
      </c>
      <c r="R14" s="168">
        <f t="shared" si="18"/>
        <v>0</v>
      </c>
      <c r="S14" s="168">
        <f t="shared" si="18"/>
        <v>0</v>
      </c>
      <c r="T14" s="169">
        <f t="shared" si="18"/>
        <v>0</v>
      </c>
      <c r="U14" s="97">
        <f t="shared" si="2"/>
        <v>0</v>
      </c>
      <c r="V14" s="97">
        <f t="shared" si="3"/>
        <v>0</v>
      </c>
      <c r="W14" s="97">
        <f t="shared" si="4"/>
        <v>0</v>
      </c>
      <c r="X14" s="97">
        <f t="shared" si="5"/>
        <v>0</v>
      </c>
      <c r="Y14" s="209"/>
      <c r="Z14" s="210"/>
      <c r="AA14" s="210"/>
      <c r="AB14" s="128">
        <f>IF(AND(D14="Jour férié semaine",((G14-F14)+(I14-H14)+(K14-J14)=0)),VLOOKUP(D14,Systeemgegevens!$J:$K,2,FALSE),0)</f>
        <v>0</v>
      </c>
      <c r="AC14" s="43">
        <f>IF(AND(NOT(ISERROR(FIND("Congé",D14))),ISERROR(FIND("1/2",D14)),ISERROR(FIND("Synd",D14)),ISERROR(FIND("synd",D14)),(G14-F14+I14-H14+K14-J14)=0),VLOOKUP(D14,Systeemgegevens!$J:$K,2,FALSE),IF(AND(NOT(ISERROR(FIND("1/2 Congé + ",D14))),(G14-F14+I14-H14+K14-J14)=0),VLOOKUP(D14,Systeemgegevens!$J:$K,2,FALSE)/2,IF(AND(NOT(ISERROR(FIND("1/2 Congé",D14))),ISERROR(FIND(" + ",D14)),ISERROR(FIND("1/2 Congé Synd.",D14))),VLOOKUP(D14,Systeemgegevens!$J:$K,2,FALSE),0)))</f>
        <v>0</v>
      </c>
      <c r="AD14" s="43">
        <f>IF(AND(OR(D14="1/2 Congé Synd.",D14="Congé Synd."),((G14-F14)+(I14-H14)+(K14-J14)=0)),VLOOKUP(D14,Systeemgegevens!$J:$K,2,FALSE),IF(AND(D14="1/2 Congé + 1/2 synd.",((G14-F14)+(I14-H14)+(K14-J14)=0)),AC14,0))</f>
        <v>0</v>
      </c>
      <c r="AE14" s="43">
        <f>IF(AND(D14="Jour de pont",((G14-F14)+(I14-H14)+(K14-J14)=0)),VLOOKUP(D14,Systeemgegevens!$J:$K,2,FALSE),0)</f>
        <v>0</v>
      </c>
      <c r="AF14" s="43">
        <f>IF(AND(D14="Jour libre 4/5",AND((G14-F14)+(I14-H14)+(K14-J14)=0)),VLOOKUP(D14,Systeemgegevens!$J:$K,2,FALSE),0)</f>
        <v>0</v>
      </c>
      <c r="AG14" s="118">
        <f>IF(AND(D14&lt;&gt;"",SUM(AB14:AF14)=0,D14&lt;&gt;$AB$4,D14&lt;&gt;$AC$4,D14&lt;&gt;$AE$4,D14&lt;&gt;$AF$4),VLOOKUP(D14,Systeemgegevens!$J:$K,2,FALSE),0)</f>
        <v>0</v>
      </c>
      <c r="AH14" s="119">
        <f t="shared" si="6"/>
        <v>0</v>
      </c>
      <c r="AI14" s="101">
        <f t="shared" si="7"/>
        <v>0</v>
      </c>
      <c r="AJ14" s="118">
        <f t="shared" si="19"/>
        <v>0</v>
      </c>
      <c r="AK14" s="119">
        <f t="shared" si="8"/>
        <v>0</v>
      </c>
      <c r="AL14" s="101">
        <f t="shared" si="9"/>
        <v>0</v>
      </c>
      <c r="AM14" s="43">
        <f t="shared" si="20"/>
        <v>0</v>
      </c>
      <c r="AN14" s="118">
        <f t="shared" si="21"/>
        <v>0</v>
      </c>
      <c r="AO14" s="122">
        <f t="shared" si="10"/>
        <v>0</v>
      </c>
      <c r="AP14" s="107">
        <f t="shared" si="11"/>
        <v>0</v>
      </c>
      <c r="AQ14" s="107">
        <f t="shared" si="12"/>
        <v>0</v>
      </c>
      <c r="AR14" s="123">
        <f t="shared" si="13"/>
        <v>0</v>
      </c>
      <c r="AS14" s="124">
        <f t="shared" si="14"/>
        <v>0</v>
      </c>
      <c r="AT14" s="124">
        <f t="shared" si="15"/>
        <v>0</v>
      </c>
      <c r="AU14" s="124">
        <f t="shared" si="16"/>
        <v>0</v>
      </c>
      <c r="AV14" s="117" t="s">
        <v>31</v>
      </c>
      <c r="AW14" s="129">
        <f>IF(($R$41=AV14)*AND($R$42&lt;&gt;""),VLOOKUP($R$42,'Barèmes police'!$T$4:$U$30,2),0)</f>
        <v>0</v>
      </c>
      <c r="AX14" s="16" t="str">
        <f>IF('Types de jours'!F20&lt;&gt;"",'Types de jours'!F20,"")</f>
        <v>1/2 Congé Synd.</v>
      </c>
      <c r="AY14" s="144">
        <f>IF(AX14&lt;&gt;"",'Types de jours'!I20,"")</f>
        <v>0.15833333333333333</v>
      </c>
      <c r="AZ14" s="269"/>
      <c r="BA14" s="154"/>
      <c r="BB14" s="154"/>
      <c r="BC14" s="154"/>
      <c r="BD14" s="154"/>
      <c r="BE14" s="154"/>
      <c r="BF14" s="154"/>
    </row>
    <row r="15" spans="1:58" ht="12.75" customHeight="1" x14ac:dyDescent="0.2">
      <c r="A15" s="34"/>
      <c r="B15" s="24" t="str">
        <f t="shared" si="0"/>
        <v>Di</v>
      </c>
      <c r="C15" s="25">
        <f t="shared" si="22"/>
        <v>45634</v>
      </c>
      <c r="D15" s="51"/>
      <c r="E15" s="116"/>
      <c r="F15" s="52"/>
      <c r="G15" s="53"/>
      <c r="H15" s="52"/>
      <c r="I15" s="53"/>
      <c r="J15" s="54"/>
      <c r="K15" s="55"/>
      <c r="L15" s="40">
        <f t="shared" si="1"/>
        <v>0</v>
      </c>
      <c r="M15" s="41">
        <f t="shared" si="23"/>
        <v>0.6333333333333333</v>
      </c>
      <c r="N15" s="42">
        <f>IF(AND(D15&lt;&gt;"Jour libre 4/5",B15&lt;&gt;"Sa",B15&lt;&gt;"Di"),SUM(N14,Configuration!$H$41),SUM(N14))</f>
        <v>8.233333333333329</v>
      </c>
      <c r="O15" s="49" t="str">
        <f t="shared" si="24"/>
        <v>-</v>
      </c>
      <c r="P15" s="143">
        <f t="shared" si="17"/>
        <v>7.5999999999999961</v>
      </c>
      <c r="Q15" s="167">
        <f t="shared" si="18"/>
        <v>0</v>
      </c>
      <c r="R15" s="168">
        <f t="shared" si="18"/>
        <v>0</v>
      </c>
      <c r="S15" s="168">
        <f t="shared" si="18"/>
        <v>0</v>
      </c>
      <c r="T15" s="169">
        <f t="shared" si="18"/>
        <v>0</v>
      </c>
      <c r="U15" s="97">
        <f t="shared" si="2"/>
        <v>0</v>
      </c>
      <c r="V15" s="97">
        <f t="shared" si="3"/>
        <v>0</v>
      </c>
      <c r="W15" s="97">
        <f t="shared" si="4"/>
        <v>0</v>
      </c>
      <c r="X15" s="97">
        <f t="shared" si="5"/>
        <v>0</v>
      </c>
      <c r="Y15" s="209"/>
      <c r="Z15" s="210"/>
      <c r="AA15" s="210"/>
      <c r="AB15" s="128">
        <f>IF(AND(D15="Jour férié semaine",((G15-F15)+(I15-H15)+(K15-J15)=0)),VLOOKUP(D15,Systeemgegevens!$J:$K,2,FALSE),0)</f>
        <v>0</v>
      </c>
      <c r="AC15" s="43">
        <f>IF(AND(NOT(ISERROR(FIND("Congé",D15))),ISERROR(FIND("1/2",D15)),ISERROR(FIND("Synd",D15)),ISERROR(FIND("synd",D15)),(G15-F15+I15-H15+K15-J15)=0),VLOOKUP(D15,Systeemgegevens!$J:$K,2,FALSE),IF(AND(NOT(ISERROR(FIND("1/2 Congé + ",D15))),(G15-F15+I15-H15+K15-J15)=0),VLOOKUP(D15,Systeemgegevens!$J:$K,2,FALSE)/2,IF(AND(NOT(ISERROR(FIND("1/2 Congé",D15))),ISERROR(FIND(" + ",D15)),ISERROR(FIND("1/2 Congé Synd.",D15))),VLOOKUP(D15,Systeemgegevens!$J:$K,2,FALSE),0)))</f>
        <v>0</v>
      </c>
      <c r="AD15" s="43">
        <f>IF(AND(OR(D15="1/2 Congé Synd.",D15="Congé Synd."),((G15-F15)+(I15-H15)+(K15-J15)=0)),VLOOKUP(D15,Systeemgegevens!$J:$K,2,FALSE),IF(AND(D15="1/2 Congé + 1/2 synd.",((G15-F15)+(I15-H15)+(K15-J15)=0)),AC15,0))</f>
        <v>0</v>
      </c>
      <c r="AE15" s="43">
        <f>IF(AND(D15="Jour de pont",((G15-F15)+(I15-H15)+(K15-J15)=0)),VLOOKUP(D15,Systeemgegevens!$J:$K,2,FALSE),0)</f>
        <v>0</v>
      </c>
      <c r="AF15" s="43">
        <f>IF(AND(D15="Jour libre 4/5",AND((G15-F15)+(I15-H15)+(K15-J15)=0)),VLOOKUP(D15,Systeemgegevens!$J:$K,2,FALSE),0)</f>
        <v>0</v>
      </c>
      <c r="AG15" s="118">
        <f>IF(AND(D15&lt;&gt;"",SUM(AB15:AF15)=0,D15&lt;&gt;$AB$4,D15&lt;&gt;$AC$4,D15&lt;&gt;$AE$4,D15&lt;&gt;$AF$4),VLOOKUP(D15,Systeemgegevens!$J:$K,2,FALSE),0)</f>
        <v>0</v>
      </c>
      <c r="AH15" s="119">
        <f t="shared" si="6"/>
        <v>0</v>
      </c>
      <c r="AI15" s="101">
        <f t="shared" si="7"/>
        <v>0</v>
      </c>
      <c r="AJ15" s="118">
        <f t="shared" si="19"/>
        <v>0</v>
      </c>
      <c r="AK15" s="119">
        <f t="shared" si="8"/>
        <v>0</v>
      </c>
      <c r="AL15" s="101">
        <f t="shared" si="9"/>
        <v>0</v>
      </c>
      <c r="AM15" s="43">
        <f t="shared" si="20"/>
        <v>0</v>
      </c>
      <c r="AN15" s="118">
        <f t="shared" si="21"/>
        <v>0</v>
      </c>
      <c r="AO15" s="122">
        <f t="shared" si="10"/>
        <v>0</v>
      </c>
      <c r="AP15" s="107">
        <f t="shared" si="11"/>
        <v>0</v>
      </c>
      <c r="AQ15" s="107">
        <f t="shared" si="12"/>
        <v>0</v>
      </c>
      <c r="AR15" s="123">
        <f t="shared" si="13"/>
        <v>0</v>
      </c>
      <c r="AS15" s="124">
        <f t="shared" si="14"/>
        <v>0</v>
      </c>
      <c r="AT15" s="124">
        <f t="shared" si="15"/>
        <v>0</v>
      </c>
      <c r="AU15" s="124">
        <f t="shared" si="16"/>
        <v>0</v>
      </c>
      <c r="AV15" s="117" t="s">
        <v>30</v>
      </c>
      <c r="AW15" s="129">
        <f>IF(($R$41=AV15)*AND($R$42&lt;&gt;""),VLOOKUP($R$42,'Barèmes police'!$W$4:$X$30,2),0)</f>
        <v>0</v>
      </c>
      <c r="AX15" s="16" t="str">
        <f>IF('Types de jours'!F21&lt;&gt;"",'Types de jours'!F21,"")</f>
        <v>1/2 Congé + 1/2 synd.</v>
      </c>
      <c r="AY15" s="144">
        <f>IF(AX15&lt;&gt;"",'Types de jours'!I21,"")</f>
        <v>0.31666666666666665</v>
      </c>
      <c r="AZ15" s="269"/>
      <c r="BA15" s="154"/>
      <c r="BB15" s="154"/>
      <c r="BC15" s="154"/>
      <c r="BD15" s="154"/>
      <c r="BE15" s="154"/>
      <c r="BF15" s="154"/>
    </row>
    <row r="16" spans="1:58" ht="12.75" customHeight="1" x14ac:dyDescent="0.2">
      <c r="A16" s="34"/>
      <c r="B16" s="24" t="str">
        <f t="shared" si="0"/>
        <v>Lu</v>
      </c>
      <c r="C16" s="25">
        <f t="shared" si="22"/>
        <v>45635</v>
      </c>
      <c r="D16" s="51"/>
      <c r="E16" s="116"/>
      <c r="F16" s="52"/>
      <c r="G16" s="53"/>
      <c r="H16" s="52"/>
      <c r="I16" s="53"/>
      <c r="J16" s="54"/>
      <c r="K16" s="55"/>
      <c r="L16" s="40">
        <f t="shared" si="1"/>
        <v>0</v>
      </c>
      <c r="M16" s="41">
        <f t="shared" si="23"/>
        <v>0.6333333333333333</v>
      </c>
      <c r="N16" s="42">
        <f>IF(AND(D16&lt;&gt;"Jour libre 4/5",B16&lt;&gt;"Sa",B16&lt;&gt;"Di"),SUM(N15,Configuration!$H$41),SUM(N15))</f>
        <v>8.5499999999999954</v>
      </c>
      <c r="O16" s="49" t="str">
        <f t="shared" si="24"/>
        <v>-</v>
      </c>
      <c r="P16" s="143">
        <f t="shared" si="17"/>
        <v>7.9166666666666625</v>
      </c>
      <c r="Q16" s="167">
        <f t="shared" si="18"/>
        <v>0</v>
      </c>
      <c r="R16" s="168">
        <f t="shared" si="18"/>
        <v>0</v>
      </c>
      <c r="S16" s="168">
        <f t="shared" si="18"/>
        <v>0</v>
      </c>
      <c r="T16" s="169">
        <f t="shared" si="18"/>
        <v>0</v>
      </c>
      <c r="U16" s="97">
        <f t="shared" si="2"/>
        <v>0</v>
      </c>
      <c r="V16" s="97">
        <f t="shared" si="3"/>
        <v>0</v>
      </c>
      <c r="W16" s="97">
        <f t="shared" si="4"/>
        <v>0</v>
      </c>
      <c r="X16" s="97">
        <f t="shared" si="5"/>
        <v>0</v>
      </c>
      <c r="Y16" s="209"/>
      <c r="Z16" s="210"/>
      <c r="AA16" s="210"/>
      <c r="AB16" s="128">
        <f>IF(AND(D16="Jour férié semaine",((G16-F16)+(I16-H16)+(K16-J16)=0)),VLOOKUP(D16,Systeemgegevens!$J:$K,2,FALSE),0)</f>
        <v>0</v>
      </c>
      <c r="AC16" s="43">
        <f>IF(AND(NOT(ISERROR(FIND("Congé",D16))),ISERROR(FIND("1/2",D16)),ISERROR(FIND("Synd",D16)),ISERROR(FIND("synd",D16)),(G16-F16+I16-H16+K16-J16)=0),VLOOKUP(D16,Systeemgegevens!$J:$K,2,FALSE),IF(AND(NOT(ISERROR(FIND("1/2 Congé + ",D16))),(G16-F16+I16-H16+K16-J16)=0),VLOOKUP(D16,Systeemgegevens!$J:$K,2,FALSE)/2,IF(AND(NOT(ISERROR(FIND("1/2 Congé",D16))),ISERROR(FIND(" + ",D16)),ISERROR(FIND("1/2 Congé Synd.",D16))),VLOOKUP(D16,Systeemgegevens!$J:$K,2,FALSE),0)))</f>
        <v>0</v>
      </c>
      <c r="AD16" s="43">
        <f>IF(AND(OR(D16="1/2 Congé Synd.",D16="Congé Synd."),((G16-F16)+(I16-H16)+(K16-J16)=0)),VLOOKUP(D16,Systeemgegevens!$J:$K,2,FALSE),IF(AND(D16="1/2 Congé + 1/2 synd.",((G16-F16)+(I16-H16)+(K16-J16)=0)),AC16,0))</f>
        <v>0</v>
      </c>
      <c r="AE16" s="43">
        <f>IF(AND(D16="Jour de pont",((G16-F16)+(I16-H16)+(K16-J16)=0)),VLOOKUP(D16,Systeemgegevens!$J:$K,2,FALSE),0)</f>
        <v>0</v>
      </c>
      <c r="AF16" s="43">
        <f>IF(AND(D16="Jour libre 4/5",AND((G16-F16)+(I16-H16)+(K16-J16)=0)),VLOOKUP(D16,Systeemgegevens!$J:$K,2,FALSE),0)</f>
        <v>0</v>
      </c>
      <c r="AG16" s="118">
        <f>IF(AND(D16&lt;&gt;"",SUM(AB16:AF16)=0,D16&lt;&gt;$AB$4,D16&lt;&gt;$AC$4,D16&lt;&gt;$AE$4,D16&lt;&gt;$AF$4),VLOOKUP(D16,Systeemgegevens!$J:$K,2,FALSE),0)</f>
        <v>0</v>
      </c>
      <c r="AH16" s="119">
        <f t="shared" si="6"/>
        <v>0</v>
      </c>
      <c r="AI16" s="101">
        <f t="shared" si="7"/>
        <v>0</v>
      </c>
      <c r="AJ16" s="118">
        <f t="shared" si="19"/>
        <v>0</v>
      </c>
      <c r="AK16" s="119">
        <f t="shared" si="8"/>
        <v>0</v>
      </c>
      <c r="AL16" s="101">
        <f t="shared" si="9"/>
        <v>0</v>
      </c>
      <c r="AM16" s="43">
        <f t="shared" si="20"/>
        <v>0</v>
      </c>
      <c r="AN16" s="118">
        <f t="shared" si="21"/>
        <v>0</v>
      </c>
      <c r="AO16" s="122">
        <f t="shared" si="10"/>
        <v>0</v>
      </c>
      <c r="AP16" s="107">
        <f t="shared" si="11"/>
        <v>0</v>
      </c>
      <c r="AQ16" s="107">
        <f t="shared" si="12"/>
        <v>0</v>
      </c>
      <c r="AR16" s="123">
        <f t="shared" si="13"/>
        <v>0</v>
      </c>
      <c r="AS16" s="124">
        <f t="shared" si="14"/>
        <v>0</v>
      </c>
      <c r="AT16" s="124">
        <f t="shared" si="15"/>
        <v>0</v>
      </c>
      <c r="AU16" s="124">
        <f t="shared" si="16"/>
        <v>0</v>
      </c>
      <c r="AV16" s="117" t="s">
        <v>29</v>
      </c>
      <c r="AW16" s="129">
        <f>IF(($R$41=AV16)*AND($R$42&lt;&gt;""),VLOOKUP($R$42,'Barèmes police'!$Z$4:$AA$30,2),0)</f>
        <v>0</v>
      </c>
      <c r="AX16" s="16" t="str">
        <f>IF('Types de jours'!F22&lt;&gt;"",'Types de jours'!F22,"")</f>
        <v>Jour férié semaine</v>
      </c>
      <c r="AY16" s="144">
        <f>IF(AX16&lt;&gt;"",'Types de jours'!I22,"")</f>
        <v>0.31666666666666665</v>
      </c>
      <c r="AZ16" s="269"/>
      <c r="BA16" s="154"/>
      <c r="BB16" s="154"/>
      <c r="BC16" s="154"/>
      <c r="BD16" s="154"/>
      <c r="BE16" s="154"/>
      <c r="BF16" s="154"/>
    </row>
    <row r="17" spans="1:58" ht="12.75" customHeight="1" x14ac:dyDescent="0.2">
      <c r="A17" s="34"/>
      <c r="B17" s="24" t="str">
        <f t="shared" si="0"/>
        <v>Ma</v>
      </c>
      <c r="C17" s="25">
        <f t="shared" si="22"/>
        <v>45636</v>
      </c>
      <c r="D17" s="51"/>
      <c r="E17" s="116"/>
      <c r="F17" s="52"/>
      <c r="G17" s="53"/>
      <c r="H17" s="52"/>
      <c r="I17" s="53"/>
      <c r="J17" s="54"/>
      <c r="K17" s="55"/>
      <c r="L17" s="40">
        <f t="shared" si="1"/>
        <v>0</v>
      </c>
      <c r="M17" s="41">
        <f t="shared" si="23"/>
        <v>0.6333333333333333</v>
      </c>
      <c r="N17" s="42">
        <f>IF(AND(D17&lt;&gt;"Jour libre 4/5",B17&lt;&gt;"Sa",B17&lt;&gt;"Di"),SUM(N16,Configuration!$H$41),SUM(N16))</f>
        <v>8.8666666666666618</v>
      </c>
      <c r="O17" s="49" t="str">
        <f t="shared" si="24"/>
        <v>-</v>
      </c>
      <c r="P17" s="143">
        <f t="shared" si="17"/>
        <v>8.233333333333329</v>
      </c>
      <c r="Q17" s="167">
        <f t="shared" si="18"/>
        <v>0</v>
      </c>
      <c r="R17" s="168">
        <f t="shared" si="18"/>
        <v>0</v>
      </c>
      <c r="S17" s="168">
        <f t="shared" si="18"/>
        <v>0</v>
      </c>
      <c r="T17" s="169">
        <f t="shared" si="18"/>
        <v>0</v>
      </c>
      <c r="U17" s="97">
        <f t="shared" si="2"/>
        <v>0</v>
      </c>
      <c r="V17" s="97">
        <f t="shared" si="3"/>
        <v>0</v>
      </c>
      <c r="W17" s="97">
        <f t="shared" si="4"/>
        <v>0</v>
      </c>
      <c r="X17" s="97">
        <f t="shared" si="5"/>
        <v>0</v>
      </c>
      <c r="Y17" s="209"/>
      <c r="Z17" s="210"/>
      <c r="AA17" s="210"/>
      <c r="AB17" s="128">
        <f>IF(AND(D17="Jour férié semaine",((G17-F17)+(I17-H17)+(K17-J17)=0)),VLOOKUP(D17,Systeemgegevens!$J:$K,2,FALSE),0)</f>
        <v>0</v>
      </c>
      <c r="AC17" s="43">
        <f>IF(AND(NOT(ISERROR(FIND("Congé",D17))),ISERROR(FIND("1/2",D17)),ISERROR(FIND("Synd",D17)),ISERROR(FIND("synd",D17)),(G17-F17+I17-H17+K17-J17)=0),VLOOKUP(D17,Systeemgegevens!$J:$K,2,FALSE),IF(AND(NOT(ISERROR(FIND("1/2 Congé + ",D17))),(G17-F17+I17-H17+K17-J17)=0),VLOOKUP(D17,Systeemgegevens!$J:$K,2,FALSE)/2,IF(AND(NOT(ISERROR(FIND("1/2 Congé",D17))),ISERROR(FIND(" + ",D17)),ISERROR(FIND("1/2 Congé Synd.",D17))),VLOOKUP(D17,Systeemgegevens!$J:$K,2,FALSE),0)))</f>
        <v>0</v>
      </c>
      <c r="AD17" s="43">
        <f>IF(AND(OR(D17="1/2 Congé Synd.",D17="Congé Synd."),((G17-F17)+(I17-H17)+(K17-J17)=0)),VLOOKUP(D17,Systeemgegevens!$J:$K,2,FALSE),IF(AND(D17="1/2 Congé + 1/2 synd.",((G17-F17)+(I17-H17)+(K17-J17)=0)),AC17,0))</f>
        <v>0</v>
      </c>
      <c r="AE17" s="43">
        <f>IF(AND(D17="Jour de pont",((G17-F17)+(I17-H17)+(K17-J17)=0)),VLOOKUP(D17,Systeemgegevens!$J:$K,2,FALSE),0)</f>
        <v>0</v>
      </c>
      <c r="AF17" s="43">
        <f>IF(AND(D17="Jour libre 4/5",AND((G17-F17)+(I17-H17)+(K17-J17)=0)),VLOOKUP(D17,Systeemgegevens!$J:$K,2,FALSE),0)</f>
        <v>0</v>
      </c>
      <c r="AG17" s="118">
        <f>IF(AND(D17&lt;&gt;"",SUM(AB17:AF17)=0,D17&lt;&gt;$AB$4,D17&lt;&gt;$AC$4,D17&lt;&gt;$AE$4,D17&lt;&gt;$AF$4),VLOOKUP(D17,Systeemgegevens!$J:$K,2,FALSE),0)</f>
        <v>0</v>
      </c>
      <c r="AH17" s="119">
        <f t="shared" si="6"/>
        <v>0</v>
      </c>
      <c r="AI17" s="101">
        <f t="shared" si="7"/>
        <v>0</v>
      </c>
      <c r="AJ17" s="118">
        <f t="shared" si="19"/>
        <v>0</v>
      </c>
      <c r="AK17" s="119">
        <f t="shared" si="8"/>
        <v>0</v>
      </c>
      <c r="AL17" s="101">
        <f t="shared" si="9"/>
        <v>0</v>
      </c>
      <c r="AM17" s="43">
        <f t="shared" si="20"/>
        <v>0</v>
      </c>
      <c r="AN17" s="118">
        <f t="shared" si="21"/>
        <v>0</v>
      </c>
      <c r="AO17" s="122">
        <f t="shared" si="10"/>
        <v>0</v>
      </c>
      <c r="AP17" s="107">
        <f t="shared" si="11"/>
        <v>0</v>
      </c>
      <c r="AQ17" s="107">
        <f t="shared" si="12"/>
        <v>0</v>
      </c>
      <c r="AR17" s="123">
        <f t="shared" si="13"/>
        <v>0</v>
      </c>
      <c r="AS17" s="124">
        <f t="shared" si="14"/>
        <v>0</v>
      </c>
      <c r="AT17" s="124">
        <f t="shared" si="15"/>
        <v>0</v>
      </c>
      <c r="AU17" s="124">
        <f t="shared" si="16"/>
        <v>0</v>
      </c>
      <c r="AV17" s="117" t="s">
        <v>28</v>
      </c>
      <c r="AW17" s="129">
        <f>IF(($R$41=AV17)*AND($R$42&lt;&gt;""),VLOOKUP($R$42,'Barèmes police'!$AC$4:$AD$30,2),0)</f>
        <v>0</v>
      </c>
      <c r="AX17" s="16" t="str">
        <f>IF('Types de jours'!F23&lt;&gt;"",'Types de jours'!F23,"")</f>
        <v>Jour libre 4/5</v>
      </c>
      <c r="AY17" s="144">
        <f>IF(AX17&lt;&gt;"",'Types de jours'!I23,"")</f>
        <v>0</v>
      </c>
      <c r="AZ17" s="269"/>
      <c r="BA17" s="154"/>
      <c r="BB17" s="154"/>
      <c r="BC17" s="154"/>
      <c r="BD17" s="154"/>
      <c r="BE17" s="154"/>
      <c r="BF17" s="154"/>
    </row>
    <row r="18" spans="1:58" ht="12.75" customHeight="1" x14ac:dyDescent="0.2">
      <c r="A18" s="34"/>
      <c r="B18" s="24" t="str">
        <f t="shared" si="0"/>
        <v>Me</v>
      </c>
      <c r="C18" s="25">
        <f t="shared" si="22"/>
        <v>45637</v>
      </c>
      <c r="D18" s="51"/>
      <c r="E18" s="116"/>
      <c r="F18" s="52"/>
      <c r="G18" s="53"/>
      <c r="H18" s="52"/>
      <c r="I18" s="53"/>
      <c r="J18" s="54"/>
      <c r="K18" s="55"/>
      <c r="L18" s="40">
        <f t="shared" si="1"/>
        <v>0</v>
      </c>
      <c r="M18" s="41">
        <f t="shared" si="23"/>
        <v>0.6333333333333333</v>
      </c>
      <c r="N18" s="42">
        <f>IF(AND(D18&lt;&gt;"Jour libre 4/5",B18&lt;&gt;"Sa",B18&lt;&gt;"Di"),SUM(N17,Configuration!$H$41),SUM(N17))</f>
        <v>9.1833333333333282</v>
      </c>
      <c r="O18" s="49" t="str">
        <f t="shared" si="24"/>
        <v>-</v>
      </c>
      <c r="P18" s="143">
        <f t="shared" si="17"/>
        <v>8.5499999999999954</v>
      </c>
      <c r="Q18" s="167">
        <f t="shared" si="18"/>
        <v>0</v>
      </c>
      <c r="R18" s="168">
        <f t="shared" si="18"/>
        <v>0</v>
      </c>
      <c r="S18" s="168">
        <f t="shared" si="18"/>
        <v>0</v>
      </c>
      <c r="T18" s="169">
        <f t="shared" si="18"/>
        <v>0</v>
      </c>
      <c r="U18" s="97">
        <f t="shared" si="2"/>
        <v>0</v>
      </c>
      <c r="V18" s="97">
        <f t="shared" si="3"/>
        <v>0</v>
      </c>
      <c r="W18" s="97">
        <f t="shared" si="4"/>
        <v>0</v>
      </c>
      <c r="X18" s="97">
        <f t="shared" si="5"/>
        <v>0</v>
      </c>
      <c r="Y18" s="209"/>
      <c r="Z18" s="210"/>
      <c r="AA18" s="210"/>
      <c r="AB18" s="128">
        <f>IF(AND(D18="Jour férié semaine",((G18-F18)+(I18-H18)+(K18-J18)=0)),VLOOKUP(D18,Systeemgegevens!$J:$K,2,FALSE),0)</f>
        <v>0</v>
      </c>
      <c r="AC18" s="43">
        <f>IF(AND(NOT(ISERROR(FIND("Congé",D18))),ISERROR(FIND("1/2",D18)),ISERROR(FIND("Synd",D18)),ISERROR(FIND("synd",D18)),(G18-F18+I18-H18+K18-J18)=0),VLOOKUP(D18,Systeemgegevens!$J:$K,2,FALSE),IF(AND(NOT(ISERROR(FIND("1/2 Congé + ",D18))),(G18-F18+I18-H18+K18-J18)=0),VLOOKUP(D18,Systeemgegevens!$J:$K,2,FALSE)/2,IF(AND(NOT(ISERROR(FIND("1/2 Congé",D18))),ISERROR(FIND(" + ",D18)),ISERROR(FIND("1/2 Congé Synd.",D18))),VLOOKUP(D18,Systeemgegevens!$J:$K,2,FALSE),0)))</f>
        <v>0</v>
      </c>
      <c r="AD18" s="43">
        <f>IF(AND(OR(D18="1/2 Congé Synd.",D18="Congé Synd."),((G18-F18)+(I18-H18)+(K18-J18)=0)),VLOOKUP(D18,Systeemgegevens!$J:$K,2,FALSE),IF(AND(D18="1/2 Congé + 1/2 synd.",((G18-F18)+(I18-H18)+(K18-J18)=0)),AC18,0))</f>
        <v>0</v>
      </c>
      <c r="AE18" s="43">
        <f>IF(AND(D18="Jour de pont",((G18-F18)+(I18-H18)+(K18-J18)=0)),VLOOKUP(D18,Systeemgegevens!$J:$K,2,FALSE),0)</f>
        <v>0</v>
      </c>
      <c r="AF18" s="43">
        <f>IF(AND(D18="Jour libre 4/5",AND((G18-F18)+(I18-H18)+(K18-J18)=0)),VLOOKUP(D18,Systeemgegevens!$J:$K,2,FALSE),0)</f>
        <v>0</v>
      </c>
      <c r="AG18" s="118">
        <f>IF(AND(D18&lt;&gt;"",SUM(AB18:AF18)=0,D18&lt;&gt;$AB$4,D18&lt;&gt;$AC$4,D18&lt;&gt;$AE$4,D18&lt;&gt;$AF$4),VLOOKUP(D18,Systeemgegevens!$J:$K,2,FALSE),0)</f>
        <v>0</v>
      </c>
      <c r="AH18" s="119">
        <f t="shared" si="6"/>
        <v>0</v>
      </c>
      <c r="AI18" s="101">
        <f t="shared" si="7"/>
        <v>0</v>
      </c>
      <c r="AJ18" s="118">
        <f t="shared" si="19"/>
        <v>0</v>
      </c>
      <c r="AK18" s="119">
        <f t="shared" si="8"/>
        <v>0</v>
      </c>
      <c r="AL18" s="101">
        <f t="shared" si="9"/>
        <v>0</v>
      </c>
      <c r="AM18" s="43">
        <f t="shared" si="20"/>
        <v>0</v>
      </c>
      <c r="AN18" s="118">
        <f t="shared" si="21"/>
        <v>0</v>
      </c>
      <c r="AO18" s="122">
        <f t="shared" si="10"/>
        <v>0</v>
      </c>
      <c r="AP18" s="107">
        <f t="shared" si="11"/>
        <v>0</v>
      </c>
      <c r="AQ18" s="107">
        <f t="shared" si="12"/>
        <v>0</v>
      </c>
      <c r="AR18" s="123">
        <f t="shared" si="13"/>
        <v>0</v>
      </c>
      <c r="AS18" s="124">
        <f t="shared" si="14"/>
        <v>0</v>
      </c>
      <c r="AT18" s="124">
        <f t="shared" si="15"/>
        <v>0</v>
      </c>
      <c r="AU18" s="124">
        <f t="shared" si="16"/>
        <v>0</v>
      </c>
      <c r="AV18" s="117" t="s">
        <v>27</v>
      </c>
      <c r="AW18" s="129">
        <f>IF(($R$41=AV18)*AND($R$42&lt;&gt;""),VLOOKUP($R$42,'Barèmes police'!$AF$4:$AG$30,2),0)</f>
        <v>0</v>
      </c>
      <c r="AX18" s="16" t="str">
        <f>IF('Types de jours'!F24&lt;&gt;"",'Types de jours'!F24,"")</f>
        <v>Jour de pont</v>
      </c>
      <c r="AY18" s="144">
        <f>IF(AX18&lt;&gt;"",'Types de jours'!I24,"")</f>
        <v>0.31666666666666665</v>
      </c>
      <c r="AZ18" s="269"/>
      <c r="BA18" s="154"/>
      <c r="BB18" s="154"/>
      <c r="BC18" s="154"/>
      <c r="BD18" s="154"/>
      <c r="BE18" s="154"/>
      <c r="BF18" s="154"/>
    </row>
    <row r="19" spans="1:58" ht="12.75" customHeight="1" x14ac:dyDescent="0.2">
      <c r="A19" s="34"/>
      <c r="B19" s="24" t="str">
        <f t="shared" si="0"/>
        <v>Je</v>
      </c>
      <c r="C19" s="25">
        <f t="shared" si="22"/>
        <v>45638</v>
      </c>
      <c r="D19" s="51"/>
      <c r="E19" s="116"/>
      <c r="F19" s="52"/>
      <c r="G19" s="53"/>
      <c r="H19" s="52"/>
      <c r="I19" s="53"/>
      <c r="J19" s="54"/>
      <c r="K19" s="55"/>
      <c r="L19" s="40">
        <f t="shared" si="1"/>
        <v>0</v>
      </c>
      <c r="M19" s="41">
        <f t="shared" si="23"/>
        <v>0.6333333333333333</v>
      </c>
      <c r="N19" s="42">
        <f>IF(AND(D19&lt;&gt;"Jour libre 4/5",B19&lt;&gt;"Sa",B19&lt;&gt;"Di"),SUM(N18,Configuration!$H$41),SUM(N18))</f>
        <v>9.4999999999999947</v>
      </c>
      <c r="O19" s="49" t="str">
        <f t="shared" si="24"/>
        <v>-</v>
      </c>
      <c r="P19" s="143">
        <f t="shared" si="17"/>
        <v>8.8666666666666618</v>
      </c>
      <c r="Q19" s="167">
        <f t="shared" si="18"/>
        <v>0</v>
      </c>
      <c r="R19" s="168">
        <f t="shared" si="18"/>
        <v>0</v>
      </c>
      <c r="S19" s="168">
        <f t="shared" si="18"/>
        <v>0</v>
      </c>
      <c r="T19" s="169">
        <f t="shared" si="18"/>
        <v>0</v>
      </c>
      <c r="U19" s="97">
        <f t="shared" si="2"/>
        <v>0</v>
      </c>
      <c r="V19" s="97">
        <f t="shared" si="3"/>
        <v>0</v>
      </c>
      <c r="W19" s="97">
        <f t="shared" si="4"/>
        <v>0</v>
      </c>
      <c r="X19" s="97">
        <f t="shared" si="5"/>
        <v>0</v>
      </c>
      <c r="Y19" s="209"/>
      <c r="Z19" s="210"/>
      <c r="AA19" s="210"/>
      <c r="AB19" s="128">
        <f>IF(AND(D19="Jour férié semaine",((G19-F19)+(I19-H19)+(K19-J19)=0)),VLOOKUP(D19,Systeemgegevens!$J:$K,2,FALSE),0)</f>
        <v>0</v>
      </c>
      <c r="AC19" s="43">
        <f>IF(AND(NOT(ISERROR(FIND("Congé",D19))),ISERROR(FIND("1/2",D19)),ISERROR(FIND("Synd",D19)),ISERROR(FIND("synd",D19)),(G19-F19+I19-H19+K19-J19)=0),VLOOKUP(D19,Systeemgegevens!$J:$K,2,FALSE),IF(AND(NOT(ISERROR(FIND("1/2 Congé + ",D19))),(G19-F19+I19-H19+K19-J19)=0),VLOOKUP(D19,Systeemgegevens!$J:$K,2,FALSE)/2,IF(AND(NOT(ISERROR(FIND("1/2 Congé",D19))),ISERROR(FIND(" + ",D19)),ISERROR(FIND("1/2 Congé Synd.",D19))),VLOOKUP(D19,Systeemgegevens!$J:$K,2,FALSE),0)))</f>
        <v>0</v>
      </c>
      <c r="AD19" s="43">
        <f>IF(AND(OR(D19="1/2 Congé Synd.",D19="Congé Synd."),((G19-F19)+(I19-H19)+(K19-J19)=0)),VLOOKUP(D19,Systeemgegevens!$J:$K,2,FALSE),IF(AND(D19="1/2 Congé + 1/2 synd.",((G19-F19)+(I19-H19)+(K19-J19)=0)),AC19,0))</f>
        <v>0</v>
      </c>
      <c r="AE19" s="43">
        <f>IF(AND(D19="Jour de pont",((G19-F19)+(I19-H19)+(K19-J19)=0)),VLOOKUP(D19,Systeemgegevens!$J:$K,2,FALSE),0)</f>
        <v>0</v>
      </c>
      <c r="AF19" s="43">
        <f>IF(AND(D19="Jour libre 4/5",AND((G19-F19)+(I19-H19)+(K19-J19)=0)),VLOOKUP(D19,Systeemgegevens!$J:$K,2,FALSE),0)</f>
        <v>0</v>
      </c>
      <c r="AG19" s="118">
        <f>IF(AND(D19&lt;&gt;"",SUM(AB19:AF19)=0,D19&lt;&gt;$AB$4,D19&lt;&gt;$AC$4,D19&lt;&gt;$AE$4,D19&lt;&gt;$AF$4),VLOOKUP(D19,Systeemgegevens!$J:$K,2,FALSE),0)</f>
        <v>0</v>
      </c>
      <c r="AH19" s="119">
        <f t="shared" si="6"/>
        <v>0</v>
      </c>
      <c r="AI19" s="101">
        <f t="shared" si="7"/>
        <v>0</v>
      </c>
      <c r="AJ19" s="118">
        <f t="shared" si="19"/>
        <v>0</v>
      </c>
      <c r="AK19" s="119">
        <f t="shared" si="8"/>
        <v>0</v>
      </c>
      <c r="AL19" s="101">
        <f t="shared" si="9"/>
        <v>0</v>
      </c>
      <c r="AM19" s="43">
        <f t="shared" si="20"/>
        <v>0</v>
      </c>
      <c r="AN19" s="118">
        <f t="shared" si="21"/>
        <v>0</v>
      </c>
      <c r="AO19" s="122">
        <f t="shared" si="10"/>
        <v>0</v>
      </c>
      <c r="AP19" s="107">
        <f t="shared" si="11"/>
        <v>0</v>
      </c>
      <c r="AQ19" s="107">
        <f t="shared" si="12"/>
        <v>0</v>
      </c>
      <c r="AR19" s="123">
        <f t="shared" si="13"/>
        <v>0</v>
      </c>
      <c r="AS19" s="124">
        <f t="shared" si="14"/>
        <v>0</v>
      </c>
      <c r="AT19" s="124">
        <f t="shared" si="15"/>
        <v>0</v>
      </c>
      <c r="AU19" s="124">
        <f t="shared" si="16"/>
        <v>0</v>
      </c>
      <c r="AV19" s="117" t="s">
        <v>26</v>
      </c>
      <c r="AW19" s="129">
        <f>IF(($R$41=AV19)*AND($R$42&lt;&gt;""),VLOOKUP($R$42,'Barèmes police'!$AI$4:$AJ$30,2),0)</f>
        <v>0</v>
      </c>
      <c r="AX19" s="16" t="str">
        <f>IF('Types de jours'!F25&lt;&gt;"",'Types de jours'!F25,"")</f>
        <v>Congé 12h</v>
      </c>
      <c r="AY19" s="144">
        <f>IF(AX19&lt;&gt;"",'Types de jours'!I25,"")</f>
        <v>0.5</v>
      </c>
      <c r="AZ19" s="269"/>
      <c r="BA19" s="154"/>
      <c r="BB19" s="154"/>
      <c r="BC19" s="154"/>
      <c r="BD19" s="154"/>
      <c r="BE19" s="154"/>
      <c r="BF19" s="154"/>
    </row>
    <row r="20" spans="1:58" ht="12.75" customHeight="1" x14ac:dyDescent="0.2">
      <c r="A20" s="34"/>
      <c r="B20" s="24" t="str">
        <f t="shared" si="0"/>
        <v>Ve</v>
      </c>
      <c r="C20" s="25">
        <f t="shared" si="22"/>
        <v>45639</v>
      </c>
      <c r="D20" s="51"/>
      <c r="E20" s="116"/>
      <c r="F20" s="52"/>
      <c r="G20" s="53"/>
      <c r="H20" s="52"/>
      <c r="I20" s="53"/>
      <c r="J20" s="54"/>
      <c r="K20" s="55"/>
      <c r="L20" s="40">
        <f t="shared" si="1"/>
        <v>0</v>
      </c>
      <c r="M20" s="41">
        <f t="shared" si="23"/>
        <v>0.6333333333333333</v>
      </c>
      <c r="N20" s="42">
        <f>IF(AND(D20&lt;&gt;"Jour libre 4/5",B20&lt;&gt;"Sa",B20&lt;&gt;"Di"),SUM(N19,Configuration!$H$41),SUM(N19))</f>
        <v>9.8166666666666611</v>
      </c>
      <c r="O20" s="49" t="str">
        <f t="shared" si="24"/>
        <v>-</v>
      </c>
      <c r="P20" s="143">
        <f t="shared" si="17"/>
        <v>9.1833333333333282</v>
      </c>
      <c r="Q20" s="167">
        <f t="shared" si="18"/>
        <v>0</v>
      </c>
      <c r="R20" s="168">
        <f t="shared" si="18"/>
        <v>0</v>
      </c>
      <c r="S20" s="168">
        <f t="shared" si="18"/>
        <v>0</v>
      </c>
      <c r="T20" s="169">
        <f t="shared" si="18"/>
        <v>0</v>
      </c>
      <c r="U20" s="97">
        <f t="shared" si="2"/>
        <v>0</v>
      </c>
      <c r="V20" s="97">
        <f t="shared" si="3"/>
        <v>0</v>
      </c>
      <c r="W20" s="97">
        <f t="shared" si="4"/>
        <v>0</v>
      </c>
      <c r="X20" s="97">
        <f t="shared" si="5"/>
        <v>0</v>
      </c>
      <c r="Y20" s="209"/>
      <c r="Z20" s="210"/>
      <c r="AA20" s="210"/>
      <c r="AB20" s="128">
        <f>IF(AND(D20="Jour férié semaine",((G20-F20)+(I20-H20)+(K20-J20)=0)),VLOOKUP(D20,Systeemgegevens!$J:$K,2,FALSE),0)</f>
        <v>0</v>
      </c>
      <c r="AC20" s="43">
        <f>IF(AND(NOT(ISERROR(FIND("Congé",D20))),ISERROR(FIND("1/2",D20)),ISERROR(FIND("Synd",D20)),ISERROR(FIND("synd",D20)),(G20-F20+I20-H20+K20-J20)=0),VLOOKUP(D20,Systeemgegevens!$J:$K,2,FALSE),IF(AND(NOT(ISERROR(FIND("1/2 Congé + ",D20))),(G20-F20+I20-H20+K20-J20)=0),VLOOKUP(D20,Systeemgegevens!$J:$K,2,FALSE)/2,IF(AND(NOT(ISERROR(FIND("1/2 Congé",D20))),ISERROR(FIND(" + ",D20)),ISERROR(FIND("1/2 Congé Synd.",D20))),VLOOKUP(D20,Systeemgegevens!$J:$K,2,FALSE),0)))</f>
        <v>0</v>
      </c>
      <c r="AD20" s="43">
        <f>IF(AND(OR(D20="1/2 Congé Synd.",D20="Congé Synd."),((G20-F20)+(I20-H20)+(K20-J20)=0)),VLOOKUP(D20,Systeemgegevens!$J:$K,2,FALSE),IF(AND(D20="1/2 Congé + 1/2 synd.",((G20-F20)+(I20-H20)+(K20-J20)=0)),AC20,0))</f>
        <v>0</v>
      </c>
      <c r="AE20" s="43">
        <f>IF(AND(D20="Jour de pont",((G20-F20)+(I20-H20)+(K20-J20)=0)),VLOOKUP(D20,Systeemgegevens!$J:$K,2,FALSE),0)</f>
        <v>0</v>
      </c>
      <c r="AF20" s="43">
        <f>IF(AND(D20="Jour libre 4/5",AND((G20-F20)+(I20-H20)+(K20-J20)=0)),VLOOKUP(D20,Systeemgegevens!$J:$K,2,FALSE),0)</f>
        <v>0</v>
      </c>
      <c r="AG20" s="118">
        <f>IF(AND(D20&lt;&gt;"",SUM(AB20:AF20)=0,D20&lt;&gt;$AB$4,D20&lt;&gt;$AC$4,D20&lt;&gt;$AE$4,D20&lt;&gt;$AF$4),VLOOKUP(D20,Systeemgegevens!$J:$K,2,FALSE),0)</f>
        <v>0</v>
      </c>
      <c r="AH20" s="119">
        <f t="shared" si="6"/>
        <v>0</v>
      </c>
      <c r="AI20" s="101">
        <f t="shared" si="7"/>
        <v>0</v>
      </c>
      <c r="AJ20" s="118">
        <f t="shared" si="19"/>
        <v>0</v>
      </c>
      <c r="AK20" s="119">
        <f t="shared" si="8"/>
        <v>0</v>
      </c>
      <c r="AL20" s="101">
        <f t="shared" si="9"/>
        <v>0</v>
      </c>
      <c r="AM20" s="43">
        <f t="shared" si="20"/>
        <v>0</v>
      </c>
      <c r="AN20" s="118">
        <f t="shared" si="21"/>
        <v>0</v>
      </c>
      <c r="AO20" s="122">
        <f t="shared" si="10"/>
        <v>0</v>
      </c>
      <c r="AP20" s="107">
        <f t="shared" si="11"/>
        <v>0</v>
      </c>
      <c r="AQ20" s="107">
        <f t="shared" si="12"/>
        <v>0</v>
      </c>
      <c r="AR20" s="123">
        <f t="shared" si="13"/>
        <v>0</v>
      </c>
      <c r="AS20" s="124">
        <f t="shared" si="14"/>
        <v>0</v>
      </c>
      <c r="AT20" s="124">
        <f t="shared" si="15"/>
        <v>0</v>
      </c>
      <c r="AU20" s="124">
        <f t="shared" si="16"/>
        <v>0</v>
      </c>
      <c r="AV20" s="117" t="s">
        <v>25</v>
      </c>
      <c r="AW20" s="129">
        <f>IF(($R$41=AV20)*AND($R$42&lt;&gt;""),VLOOKUP($R$42,'Barèmes police'!$AL$4:$AM$30,2),0)</f>
        <v>0</v>
      </c>
      <c r="AX20" s="16" t="str">
        <f>IF('Types de jours'!F26&lt;&gt;"",'Types de jours'!F26,"")</f>
        <v/>
      </c>
      <c r="AY20" s="144" t="str">
        <f>IF(AX20&lt;&gt;"",'Types de jours'!I26,"")</f>
        <v/>
      </c>
      <c r="AZ20" s="269"/>
      <c r="BA20" s="154"/>
      <c r="BB20" s="154"/>
      <c r="BC20" s="154"/>
      <c r="BD20" s="154"/>
      <c r="BE20" s="154"/>
      <c r="BF20" s="154"/>
    </row>
    <row r="21" spans="1:58" ht="12.75" customHeight="1" x14ac:dyDescent="0.2">
      <c r="A21" s="34"/>
      <c r="B21" s="24" t="str">
        <f t="shared" si="0"/>
        <v>Sa</v>
      </c>
      <c r="C21" s="25">
        <f t="shared" si="22"/>
        <v>45640</v>
      </c>
      <c r="D21" s="51"/>
      <c r="E21" s="116"/>
      <c r="F21" s="52"/>
      <c r="G21" s="53"/>
      <c r="H21" s="52"/>
      <c r="I21" s="53"/>
      <c r="J21" s="54"/>
      <c r="K21" s="55"/>
      <c r="L21" s="40">
        <f t="shared" si="1"/>
        <v>0</v>
      </c>
      <c r="M21" s="41">
        <f t="shared" si="23"/>
        <v>0.6333333333333333</v>
      </c>
      <c r="N21" s="42">
        <f>IF(AND(D21&lt;&gt;"Jour libre 4/5",B21&lt;&gt;"Sa",B21&lt;&gt;"Di"),SUM(N20,Configuration!$H$41),SUM(N20))</f>
        <v>9.8166666666666611</v>
      </c>
      <c r="O21" s="49" t="str">
        <f t="shared" si="24"/>
        <v>-</v>
      </c>
      <c r="P21" s="143">
        <f t="shared" si="17"/>
        <v>9.1833333333333282</v>
      </c>
      <c r="Q21" s="167">
        <f t="shared" si="18"/>
        <v>0</v>
      </c>
      <c r="R21" s="168">
        <f t="shared" si="18"/>
        <v>0</v>
      </c>
      <c r="S21" s="168">
        <f t="shared" si="18"/>
        <v>0</v>
      </c>
      <c r="T21" s="169">
        <f t="shared" si="18"/>
        <v>0</v>
      </c>
      <c r="U21" s="97">
        <f t="shared" si="2"/>
        <v>0</v>
      </c>
      <c r="V21" s="97">
        <f t="shared" si="3"/>
        <v>0</v>
      </c>
      <c r="W21" s="97">
        <f t="shared" si="4"/>
        <v>0</v>
      </c>
      <c r="X21" s="97">
        <f t="shared" si="5"/>
        <v>0</v>
      </c>
      <c r="Y21" s="209"/>
      <c r="Z21" s="210"/>
      <c r="AA21" s="210"/>
      <c r="AB21" s="128">
        <f>IF(AND(D21="Jour férié semaine",((G21-F21)+(I21-H21)+(K21-J21)=0)),VLOOKUP(D21,Systeemgegevens!$J:$K,2,FALSE),0)</f>
        <v>0</v>
      </c>
      <c r="AC21" s="43">
        <f>IF(AND(NOT(ISERROR(FIND("Congé",D21))),ISERROR(FIND("1/2",D21)),ISERROR(FIND("Synd",D21)),ISERROR(FIND("synd",D21)),(G21-F21+I21-H21+K21-J21)=0),VLOOKUP(D21,Systeemgegevens!$J:$K,2,FALSE),IF(AND(NOT(ISERROR(FIND("1/2 Congé + ",D21))),(G21-F21+I21-H21+K21-J21)=0),VLOOKUP(D21,Systeemgegevens!$J:$K,2,FALSE)/2,IF(AND(NOT(ISERROR(FIND("1/2 Congé",D21))),ISERROR(FIND(" + ",D21)),ISERROR(FIND("1/2 Congé Synd.",D21))),VLOOKUP(D21,Systeemgegevens!$J:$K,2,FALSE),0)))</f>
        <v>0</v>
      </c>
      <c r="AD21" s="43">
        <f>IF(AND(OR(D21="1/2 Congé Synd.",D21="Congé Synd."),((G21-F21)+(I21-H21)+(K21-J21)=0)),VLOOKUP(D21,Systeemgegevens!$J:$K,2,FALSE),IF(AND(D21="1/2 Congé + 1/2 synd.",((G21-F21)+(I21-H21)+(K21-J21)=0)),AC21,0))</f>
        <v>0</v>
      </c>
      <c r="AE21" s="43">
        <f>IF(AND(D21="Jour de pont",((G21-F21)+(I21-H21)+(K21-J21)=0)),VLOOKUP(D21,Systeemgegevens!$J:$K,2,FALSE),0)</f>
        <v>0</v>
      </c>
      <c r="AF21" s="43">
        <f>IF(AND(D21="Jour libre 4/5",AND((G21-F21)+(I21-H21)+(K21-J21)=0)),VLOOKUP(D21,Systeemgegevens!$J:$K,2,FALSE),0)</f>
        <v>0</v>
      </c>
      <c r="AG21" s="118">
        <f>IF(AND(D21&lt;&gt;"",SUM(AB21:AF21)=0,D21&lt;&gt;$AB$4,D21&lt;&gt;$AC$4,D21&lt;&gt;$AE$4,D21&lt;&gt;$AF$4),VLOOKUP(D21,Systeemgegevens!$J:$K,2,FALSE),0)</f>
        <v>0</v>
      </c>
      <c r="AH21" s="119">
        <f t="shared" si="6"/>
        <v>0</v>
      </c>
      <c r="AI21" s="101">
        <f t="shared" si="7"/>
        <v>0</v>
      </c>
      <c r="AJ21" s="118">
        <f t="shared" si="19"/>
        <v>0</v>
      </c>
      <c r="AK21" s="119">
        <f t="shared" si="8"/>
        <v>0</v>
      </c>
      <c r="AL21" s="101">
        <f t="shared" si="9"/>
        <v>0</v>
      </c>
      <c r="AM21" s="43">
        <f t="shared" si="20"/>
        <v>0</v>
      </c>
      <c r="AN21" s="118">
        <f t="shared" si="21"/>
        <v>0</v>
      </c>
      <c r="AO21" s="122">
        <f t="shared" si="10"/>
        <v>0</v>
      </c>
      <c r="AP21" s="107">
        <f t="shared" si="11"/>
        <v>0</v>
      </c>
      <c r="AQ21" s="107">
        <f t="shared" si="12"/>
        <v>0</v>
      </c>
      <c r="AR21" s="123">
        <f t="shared" si="13"/>
        <v>0</v>
      </c>
      <c r="AS21" s="124">
        <f t="shared" si="14"/>
        <v>0</v>
      </c>
      <c r="AT21" s="124">
        <f t="shared" si="15"/>
        <v>0</v>
      </c>
      <c r="AU21" s="124">
        <f t="shared" si="16"/>
        <v>0</v>
      </c>
      <c r="AV21" s="117" t="s">
        <v>24</v>
      </c>
      <c r="AW21" s="129">
        <f>IF(($R$41=AV21)*AND($R$42&lt;&gt;""),VLOOKUP($R$42,'Barèmes police'!$AO$4:$AP$30,2),0)</f>
        <v>0</v>
      </c>
      <c r="AX21" s="16" t="str">
        <f>IF('Types de jours'!F27&lt;&gt;"",'Types de jours'!F27,"")</f>
        <v/>
      </c>
      <c r="AY21" s="144" t="str">
        <f>IF(AX21&lt;&gt;"",'Types de jours'!I27,"")</f>
        <v/>
      </c>
      <c r="AZ21" s="269"/>
      <c r="BA21" s="154"/>
      <c r="BB21" s="154"/>
      <c r="BC21" s="154"/>
      <c r="BD21" s="154"/>
      <c r="BE21" s="154"/>
      <c r="BF21" s="154"/>
    </row>
    <row r="22" spans="1:58" ht="12.75" customHeight="1" x14ac:dyDescent="0.2">
      <c r="A22" s="34"/>
      <c r="B22" s="24" t="str">
        <f t="shared" si="0"/>
        <v>Di</v>
      </c>
      <c r="C22" s="25">
        <f t="shared" si="22"/>
        <v>45641</v>
      </c>
      <c r="D22" s="51"/>
      <c r="E22" s="116"/>
      <c r="F22" s="52"/>
      <c r="G22" s="53"/>
      <c r="H22" s="52"/>
      <c r="I22" s="53"/>
      <c r="J22" s="54"/>
      <c r="K22" s="55"/>
      <c r="L22" s="40">
        <f t="shared" si="1"/>
        <v>0</v>
      </c>
      <c r="M22" s="41">
        <f t="shared" si="23"/>
        <v>0.6333333333333333</v>
      </c>
      <c r="N22" s="42">
        <f>IF(AND(D22&lt;&gt;"Jour libre 4/5",B22&lt;&gt;"Sa",B22&lt;&gt;"Di"),SUM(N21,Configuration!$H$41),SUM(N21))</f>
        <v>9.8166666666666611</v>
      </c>
      <c r="O22" s="49" t="str">
        <f t="shared" si="24"/>
        <v>-</v>
      </c>
      <c r="P22" s="143">
        <f t="shared" si="17"/>
        <v>9.1833333333333282</v>
      </c>
      <c r="Q22" s="167">
        <f t="shared" si="18"/>
        <v>0</v>
      </c>
      <c r="R22" s="168">
        <f t="shared" si="18"/>
        <v>0</v>
      </c>
      <c r="S22" s="168">
        <f t="shared" si="18"/>
        <v>0</v>
      </c>
      <c r="T22" s="169">
        <f t="shared" si="18"/>
        <v>0</v>
      </c>
      <c r="U22" s="97">
        <f t="shared" si="2"/>
        <v>0</v>
      </c>
      <c r="V22" s="97">
        <f t="shared" si="3"/>
        <v>0</v>
      </c>
      <c r="W22" s="97">
        <f t="shared" si="4"/>
        <v>0</v>
      </c>
      <c r="X22" s="97">
        <f t="shared" si="5"/>
        <v>0</v>
      </c>
      <c r="Y22" s="209"/>
      <c r="Z22" s="210"/>
      <c r="AA22" s="210"/>
      <c r="AB22" s="128">
        <f>IF(AND(D22="Jour férié semaine",((G22-F22)+(I22-H22)+(K22-J22)=0)),VLOOKUP(D22,Systeemgegevens!$J:$K,2,FALSE),0)</f>
        <v>0</v>
      </c>
      <c r="AC22" s="43">
        <f>IF(AND(NOT(ISERROR(FIND("Congé",D22))),ISERROR(FIND("1/2",D22)),ISERROR(FIND("Synd",D22)),ISERROR(FIND("synd",D22)),(G22-F22+I22-H22+K22-J22)=0),VLOOKUP(D22,Systeemgegevens!$J:$K,2,FALSE),IF(AND(NOT(ISERROR(FIND("1/2 Congé + ",D22))),(G22-F22+I22-H22+K22-J22)=0),VLOOKUP(D22,Systeemgegevens!$J:$K,2,FALSE)/2,IF(AND(NOT(ISERROR(FIND("1/2 Congé",D22))),ISERROR(FIND(" + ",D22)),ISERROR(FIND("1/2 Congé Synd.",D22))),VLOOKUP(D22,Systeemgegevens!$J:$K,2,FALSE),0)))</f>
        <v>0</v>
      </c>
      <c r="AD22" s="43">
        <f>IF(AND(OR(D22="1/2 Congé Synd.",D22="Congé Synd."),((G22-F22)+(I22-H22)+(K22-J22)=0)),VLOOKUP(D22,Systeemgegevens!$J:$K,2,FALSE),IF(AND(D22="1/2 Congé + 1/2 synd.",((G22-F22)+(I22-H22)+(K22-J22)=0)),AC22,0))</f>
        <v>0</v>
      </c>
      <c r="AE22" s="43">
        <f>IF(AND(D22="Jour de pont",((G22-F22)+(I22-H22)+(K22-J22)=0)),VLOOKUP(D22,Systeemgegevens!$J:$K,2,FALSE),0)</f>
        <v>0</v>
      </c>
      <c r="AF22" s="43">
        <f>IF(AND(D22="Jour libre 4/5",AND((G22-F22)+(I22-H22)+(K22-J22)=0)),VLOOKUP(D22,Systeemgegevens!$J:$K,2,FALSE),0)</f>
        <v>0</v>
      </c>
      <c r="AG22" s="118">
        <f>IF(AND(D22&lt;&gt;"",SUM(AB22:AF22)=0,D22&lt;&gt;$AB$4,D22&lt;&gt;$AC$4,D22&lt;&gt;$AE$4,D22&lt;&gt;$AF$4),VLOOKUP(D22,Systeemgegevens!$J:$K,2,FALSE),0)</f>
        <v>0</v>
      </c>
      <c r="AH22" s="119">
        <f t="shared" si="6"/>
        <v>0</v>
      </c>
      <c r="AI22" s="101">
        <f t="shared" si="7"/>
        <v>0</v>
      </c>
      <c r="AJ22" s="118">
        <f t="shared" si="19"/>
        <v>0</v>
      </c>
      <c r="AK22" s="119">
        <f t="shared" si="8"/>
        <v>0</v>
      </c>
      <c r="AL22" s="101">
        <f t="shared" si="9"/>
        <v>0</v>
      </c>
      <c r="AM22" s="43">
        <f t="shared" si="20"/>
        <v>0</v>
      </c>
      <c r="AN22" s="118">
        <f t="shared" si="21"/>
        <v>0</v>
      </c>
      <c r="AO22" s="122">
        <f t="shared" si="10"/>
        <v>0</v>
      </c>
      <c r="AP22" s="107">
        <f t="shared" si="11"/>
        <v>0</v>
      </c>
      <c r="AQ22" s="107">
        <f t="shared" si="12"/>
        <v>0</v>
      </c>
      <c r="AR22" s="123">
        <f t="shared" si="13"/>
        <v>0</v>
      </c>
      <c r="AS22" s="124">
        <f t="shared" si="14"/>
        <v>0</v>
      </c>
      <c r="AT22" s="124">
        <f t="shared" si="15"/>
        <v>0</v>
      </c>
      <c r="AU22" s="124">
        <f t="shared" si="16"/>
        <v>0</v>
      </c>
      <c r="AV22" s="117" t="s">
        <v>23</v>
      </c>
      <c r="AW22" s="129">
        <f>IF(($R$41=AV22)*AND($R$42&lt;&gt;""),VLOOKUP($R$42,'Barèmes police'!$AR$4:$AS$30,2),0)</f>
        <v>0</v>
      </c>
      <c r="AX22" s="16" t="str">
        <f>IF('Types de jours'!F28&lt;&gt;"",'Types de jours'!F28,"")</f>
        <v/>
      </c>
      <c r="AY22" s="144" t="str">
        <f>IF(AX22&lt;&gt;"",'Types de jours'!I28,"")</f>
        <v/>
      </c>
      <c r="AZ22" s="269"/>
      <c r="BA22" s="154"/>
      <c r="BB22" s="154"/>
      <c r="BC22" s="154"/>
      <c r="BD22" s="154"/>
      <c r="BE22" s="154"/>
      <c r="BF22" s="154"/>
    </row>
    <row r="23" spans="1:58" ht="12.75" customHeight="1" x14ac:dyDescent="0.2">
      <c r="A23" s="34"/>
      <c r="B23" s="24" t="str">
        <f t="shared" si="0"/>
        <v>Lu</v>
      </c>
      <c r="C23" s="25">
        <f t="shared" si="22"/>
        <v>45642</v>
      </c>
      <c r="D23" s="51"/>
      <c r="E23" s="116"/>
      <c r="F23" s="52"/>
      <c r="G23" s="53"/>
      <c r="H23" s="52"/>
      <c r="I23" s="53"/>
      <c r="J23" s="54"/>
      <c r="K23" s="55"/>
      <c r="L23" s="40">
        <f t="shared" si="1"/>
        <v>0</v>
      </c>
      <c r="M23" s="41">
        <f t="shared" si="23"/>
        <v>0.6333333333333333</v>
      </c>
      <c r="N23" s="42">
        <f>IF(AND(D23&lt;&gt;"Jour libre 4/5",B23&lt;&gt;"Sa",B23&lt;&gt;"Di"),SUM(N22,Configuration!$H$41),SUM(N22))</f>
        <v>10.133333333333328</v>
      </c>
      <c r="O23" s="49" t="str">
        <f t="shared" si="24"/>
        <v>-</v>
      </c>
      <c r="P23" s="143">
        <f t="shared" si="17"/>
        <v>9.4999999999999947</v>
      </c>
      <c r="Q23" s="167">
        <f t="shared" si="18"/>
        <v>0</v>
      </c>
      <c r="R23" s="168">
        <f t="shared" si="18"/>
        <v>0</v>
      </c>
      <c r="S23" s="168">
        <f t="shared" si="18"/>
        <v>0</v>
      </c>
      <c r="T23" s="169">
        <f t="shared" si="18"/>
        <v>0</v>
      </c>
      <c r="U23" s="97">
        <f t="shared" si="2"/>
        <v>0</v>
      </c>
      <c r="V23" s="97">
        <f t="shared" si="3"/>
        <v>0</v>
      </c>
      <c r="W23" s="97">
        <f t="shared" si="4"/>
        <v>0</v>
      </c>
      <c r="X23" s="97">
        <f t="shared" si="5"/>
        <v>0</v>
      </c>
      <c r="Y23" s="209"/>
      <c r="Z23" s="210"/>
      <c r="AA23" s="210"/>
      <c r="AB23" s="128">
        <f>IF(AND(D23="Jour férié semaine",((G23-F23)+(I23-H23)+(K23-J23)=0)),VLOOKUP(D23,Systeemgegevens!$J:$K,2,FALSE),0)</f>
        <v>0</v>
      </c>
      <c r="AC23" s="43">
        <f>IF(AND(NOT(ISERROR(FIND("Congé",D23))),ISERROR(FIND("1/2",D23)),ISERROR(FIND("Synd",D23)),ISERROR(FIND("synd",D23)),(G23-F23+I23-H23+K23-J23)=0),VLOOKUP(D23,Systeemgegevens!$J:$K,2,FALSE),IF(AND(NOT(ISERROR(FIND("1/2 Congé + ",D23))),(G23-F23+I23-H23+K23-J23)=0),VLOOKUP(D23,Systeemgegevens!$J:$K,2,FALSE)/2,IF(AND(NOT(ISERROR(FIND("1/2 Congé",D23))),ISERROR(FIND(" + ",D23)),ISERROR(FIND("1/2 Congé Synd.",D23))),VLOOKUP(D23,Systeemgegevens!$J:$K,2,FALSE),0)))</f>
        <v>0</v>
      </c>
      <c r="AD23" s="43">
        <f>IF(AND(OR(D23="1/2 Congé Synd.",D23="Congé Synd."),((G23-F23)+(I23-H23)+(K23-J23)=0)),VLOOKUP(D23,Systeemgegevens!$J:$K,2,FALSE),IF(AND(D23="1/2 Congé + 1/2 synd.",((G23-F23)+(I23-H23)+(K23-J23)=0)),AC23,0))</f>
        <v>0</v>
      </c>
      <c r="AE23" s="43">
        <f>IF(AND(D23="Jour de pont",((G23-F23)+(I23-H23)+(K23-J23)=0)),VLOOKUP(D23,Systeemgegevens!$J:$K,2,FALSE),0)</f>
        <v>0</v>
      </c>
      <c r="AF23" s="43">
        <f>IF(AND(D23="Jour libre 4/5",AND((G23-F23)+(I23-H23)+(K23-J23)=0)),VLOOKUP(D23,Systeemgegevens!$J:$K,2,FALSE),0)</f>
        <v>0</v>
      </c>
      <c r="AG23" s="118">
        <f>IF(AND(D23&lt;&gt;"",SUM(AB23:AF23)=0,D23&lt;&gt;$AB$4,D23&lt;&gt;$AC$4,D23&lt;&gt;$AE$4,D23&lt;&gt;$AF$4),VLOOKUP(D23,Systeemgegevens!$J:$K,2,FALSE),0)</f>
        <v>0</v>
      </c>
      <c r="AH23" s="119">
        <f t="shared" si="6"/>
        <v>0</v>
      </c>
      <c r="AI23" s="101">
        <f t="shared" si="7"/>
        <v>0</v>
      </c>
      <c r="AJ23" s="118">
        <f t="shared" si="19"/>
        <v>0</v>
      </c>
      <c r="AK23" s="119">
        <f t="shared" si="8"/>
        <v>0</v>
      </c>
      <c r="AL23" s="101">
        <f t="shared" si="9"/>
        <v>0</v>
      </c>
      <c r="AM23" s="43">
        <f t="shared" si="20"/>
        <v>0</v>
      </c>
      <c r="AN23" s="118">
        <f t="shared" si="21"/>
        <v>0</v>
      </c>
      <c r="AO23" s="122">
        <f t="shared" si="10"/>
        <v>0</v>
      </c>
      <c r="AP23" s="107">
        <f t="shared" si="11"/>
        <v>0</v>
      </c>
      <c r="AQ23" s="107">
        <f t="shared" si="12"/>
        <v>0</v>
      </c>
      <c r="AR23" s="123">
        <f t="shared" si="13"/>
        <v>0</v>
      </c>
      <c r="AS23" s="124">
        <f t="shared" si="14"/>
        <v>0</v>
      </c>
      <c r="AT23" s="124">
        <f t="shared" si="15"/>
        <v>0</v>
      </c>
      <c r="AU23" s="124">
        <f t="shared" si="16"/>
        <v>0</v>
      </c>
      <c r="AV23" s="117" t="s">
        <v>22</v>
      </c>
      <c r="AW23" s="129">
        <f>IF(($R$41=AV23)*AND($R$42&lt;&gt;""),VLOOKUP($R$42,'Barèmes police'!$AU$4:$AV$34,2),0)</f>
        <v>0</v>
      </c>
      <c r="AX23" s="16" t="str">
        <f>IF('Types de jours'!F29&lt;&gt;"",'Types de jours'!F29,"")</f>
        <v/>
      </c>
      <c r="AY23" s="144" t="str">
        <f>IF(AX23&lt;&gt;"",'Types de jours'!I29,"")</f>
        <v/>
      </c>
      <c r="AZ23" s="269"/>
      <c r="BA23" s="154"/>
      <c r="BB23" s="154"/>
      <c r="BC23" s="154"/>
      <c r="BD23" s="154"/>
      <c r="BE23" s="154"/>
      <c r="BF23" s="154"/>
    </row>
    <row r="24" spans="1:58" ht="12.75" customHeight="1" x14ac:dyDescent="0.2">
      <c r="A24" s="34"/>
      <c r="B24" s="24" t="str">
        <f t="shared" si="0"/>
        <v>Ma</v>
      </c>
      <c r="C24" s="25">
        <f t="shared" si="22"/>
        <v>45643</v>
      </c>
      <c r="D24" s="51"/>
      <c r="E24" s="116"/>
      <c r="F24" s="52"/>
      <c r="G24" s="53"/>
      <c r="H24" s="52"/>
      <c r="I24" s="53"/>
      <c r="J24" s="54"/>
      <c r="K24" s="55"/>
      <c r="L24" s="40">
        <f t="shared" si="1"/>
        <v>0</v>
      </c>
      <c r="M24" s="41">
        <f t="shared" si="23"/>
        <v>0.6333333333333333</v>
      </c>
      <c r="N24" s="42">
        <f>IF(AND(D24&lt;&gt;"Jour libre 4/5",B24&lt;&gt;"Sa",B24&lt;&gt;"Di"),SUM(N23,Configuration!$H$41),SUM(N23))</f>
        <v>10.449999999999994</v>
      </c>
      <c r="O24" s="49" t="str">
        <f t="shared" si="24"/>
        <v>-</v>
      </c>
      <c r="P24" s="143">
        <f t="shared" si="17"/>
        <v>9.8166666666666611</v>
      </c>
      <c r="Q24" s="167">
        <f t="shared" si="18"/>
        <v>0</v>
      </c>
      <c r="R24" s="168">
        <f t="shared" si="18"/>
        <v>0</v>
      </c>
      <c r="S24" s="168">
        <f t="shared" si="18"/>
        <v>0</v>
      </c>
      <c r="T24" s="169">
        <f t="shared" si="18"/>
        <v>0</v>
      </c>
      <c r="U24" s="97">
        <f t="shared" si="2"/>
        <v>0</v>
      </c>
      <c r="V24" s="97">
        <f t="shared" si="3"/>
        <v>0</v>
      </c>
      <c r="W24" s="97">
        <f t="shared" si="4"/>
        <v>0</v>
      </c>
      <c r="X24" s="97">
        <f t="shared" si="5"/>
        <v>0</v>
      </c>
      <c r="Y24" s="209"/>
      <c r="Z24" s="210"/>
      <c r="AA24" s="210"/>
      <c r="AB24" s="128">
        <f>IF(AND(D24="Jour férié semaine",((G24-F24)+(I24-H24)+(K24-J24)=0)),VLOOKUP(D24,Systeemgegevens!$J:$K,2,FALSE),0)</f>
        <v>0</v>
      </c>
      <c r="AC24" s="43">
        <f>IF(AND(NOT(ISERROR(FIND("Congé",D24))),ISERROR(FIND("1/2",D24)),ISERROR(FIND("Synd",D24)),ISERROR(FIND("synd",D24)),(G24-F24+I24-H24+K24-J24)=0),VLOOKUP(D24,Systeemgegevens!$J:$K,2,FALSE),IF(AND(NOT(ISERROR(FIND("1/2 Congé + ",D24))),(G24-F24+I24-H24+K24-J24)=0),VLOOKUP(D24,Systeemgegevens!$J:$K,2,FALSE)/2,IF(AND(NOT(ISERROR(FIND("1/2 Congé",D24))),ISERROR(FIND(" + ",D24)),ISERROR(FIND("1/2 Congé Synd.",D24))),VLOOKUP(D24,Systeemgegevens!$J:$K,2,FALSE),0)))</f>
        <v>0</v>
      </c>
      <c r="AD24" s="43">
        <f>IF(AND(OR(D24="1/2 Congé Synd.",D24="Congé Synd."),((G24-F24)+(I24-H24)+(K24-J24)=0)),VLOOKUP(D24,Systeemgegevens!$J:$K,2,FALSE),IF(AND(D24="1/2 Congé + 1/2 synd.",((G24-F24)+(I24-H24)+(K24-J24)=0)),AC24,0))</f>
        <v>0</v>
      </c>
      <c r="AE24" s="43">
        <f>IF(AND(D24="Jour de pont",((G24-F24)+(I24-H24)+(K24-J24)=0)),VLOOKUP(D24,Systeemgegevens!$J:$K,2,FALSE),0)</f>
        <v>0</v>
      </c>
      <c r="AF24" s="43">
        <f>IF(AND(D24="Jour libre 4/5",AND((G24-F24)+(I24-H24)+(K24-J24)=0)),VLOOKUP(D24,Systeemgegevens!$J:$K,2,FALSE),0)</f>
        <v>0</v>
      </c>
      <c r="AG24" s="118">
        <f>IF(AND(D24&lt;&gt;"",SUM(AB24:AF24)=0,D24&lt;&gt;$AB$4,D24&lt;&gt;$AC$4,D24&lt;&gt;$AE$4,D24&lt;&gt;$AF$4),VLOOKUP(D24,Systeemgegevens!$J:$K,2,FALSE),0)</f>
        <v>0</v>
      </c>
      <c r="AH24" s="119">
        <f t="shared" si="6"/>
        <v>0</v>
      </c>
      <c r="AI24" s="101">
        <f t="shared" si="7"/>
        <v>0</v>
      </c>
      <c r="AJ24" s="118">
        <f t="shared" si="19"/>
        <v>0</v>
      </c>
      <c r="AK24" s="119">
        <f t="shared" si="8"/>
        <v>0</v>
      </c>
      <c r="AL24" s="101">
        <f t="shared" si="9"/>
        <v>0</v>
      </c>
      <c r="AM24" s="43">
        <f t="shared" si="20"/>
        <v>0</v>
      </c>
      <c r="AN24" s="118">
        <f t="shared" si="21"/>
        <v>0</v>
      </c>
      <c r="AO24" s="122">
        <f t="shared" si="10"/>
        <v>0</v>
      </c>
      <c r="AP24" s="107">
        <f t="shared" si="11"/>
        <v>0</v>
      </c>
      <c r="AQ24" s="107">
        <f t="shared" si="12"/>
        <v>0</v>
      </c>
      <c r="AR24" s="123">
        <f t="shared" si="13"/>
        <v>0</v>
      </c>
      <c r="AS24" s="124">
        <f t="shared" si="14"/>
        <v>0</v>
      </c>
      <c r="AT24" s="124">
        <f t="shared" si="15"/>
        <v>0</v>
      </c>
      <c r="AU24" s="124">
        <f t="shared" si="16"/>
        <v>0</v>
      </c>
      <c r="AV24" s="117" t="s">
        <v>21</v>
      </c>
      <c r="AW24" s="129">
        <f>IF(($R$41=AV24)*AND($R$42&lt;&gt;""),VLOOKUP($R$42,'Barèmes police'!$AX$4:$AY$30,2),0)</f>
        <v>0</v>
      </c>
      <c r="AX24" s="16" t="str">
        <f>IF('Types de jours'!F30&lt;&gt;"",'Types de jours'!F30,"")</f>
        <v/>
      </c>
      <c r="AY24" s="144" t="str">
        <f>IF(AX24&lt;&gt;"",'Types de jours'!I30,"")</f>
        <v/>
      </c>
      <c r="AZ24" s="269"/>
      <c r="BA24" s="154"/>
      <c r="BB24" s="154"/>
      <c r="BC24" s="154"/>
      <c r="BD24" s="154"/>
      <c r="BE24" s="154"/>
      <c r="BF24" s="154"/>
    </row>
    <row r="25" spans="1:58" ht="12.75" customHeight="1" x14ac:dyDescent="0.2">
      <c r="A25" s="34"/>
      <c r="B25" s="24" t="str">
        <f t="shared" si="0"/>
        <v>Me</v>
      </c>
      <c r="C25" s="25">
        <f t="shared" si="22"/>
        <v>45644</v>
      </c>
      <c r="D25" s="51"/>
      <c r="E25" s="116"/>
      <c r="F25" s="52"/>
      <c r="G25" s="53"/>
      <c r="H25" s="52"/>
      <c r="I25" s="53"/>
      <c r="J25" s="54"/>
      <c r="K25" s="55"/>
      <c r="L25" s="40">
        <f t="shared" si="1"/>
        <v>0</v>
      </c>
      <c r="M25" s="41">
        <f t="shared" si="23"/>
        <v>0.6333333333333333</v>
      </c>
      <c r="N25" s="42">
        <f>IF(AND(D25&lt;&gt;"Jour libre 4/5",B25&lt;&gt;"Sa",B25&lt;&gt;"Di"),SUM(N24,Configuration!$H$41),SUM(N24))</f>
        <v>10.76666666666666</v>
      </c>
      <c r="O25" s="49" t="str">
        <f t="shared" si="24"/>
        <v>-</v>
      </c>
      <c r="P25" s="143">
        <f t="shared" si="17"/>
        <v>10.133333333333328</v>
      </c>
      <c r="Q25" s="167">
        <f t="shared" si="18"/>
        <v>0</v>
      </c>
      <c r="R25" s="168">
        <f t="shared" si="18"/>
        <v>0</v>
      </c>
      <c r="S25" s="168">
        <f t="shared" si="18"/>
        <v>0</v>
      </c>
      <c r="T25" s="169">
        <f t="shared" si="18"/>
        <v>0</v>
      </c>
      <c r="U25" s="97">
        <f t="shared" si="2"/>
        <v>0</v>
      </c>
      <c r="V25" s="97">
        <f t="shared" si="3"/>
        <v>0</v>
      </c>
      <c r="W25" s="97">
        <f t="shared" si="4"/>
        <v>0</v>
      </c>
      <c r="X25" s="97">
        <f t="shared" si="5"/>
        <v>0</v>
      </c>
      <c r="Y25" s="209"/>
      <c r="Z25" s="210"/>
      <c r="AA25" s="210"/>
      <c r="AB25" s="128">
        <f>IF(AND(D25="Jour férié semaine",((G25-F25)+(I25-H25)+(K25-J25)=0)),VLOOKUP(D25,Systeemgegevens!$J:$K,2,FALSE),0)</f>
        <v>0</v>
      </c>
      <c r="AC25" s="43">
        <f>IF(AND(NOT(ISERROR(FIND("Congé",D25))),ISERROR(FIND("1/2",D25)),ISERROR(FIND("Synd",D25)),ISERROR(FIND("synd",D25)),(G25-F25+I25-H25+K25-J25)=0),VLOOKUP(D25,Systeemgegevens!$J:$K,2,FALSE),IF(AND(NOT(ISERROR(FIND("1/2 Congé + ",D25))),(G25-F25+I25-H25+K25-J25)=0),VLOOKUP(D25,Systeemgegevens!$J:$K,2,FALSE)/2,IF(AND(NOT(ISERROR(FIND("1/2 Congé",D25))),ISERROR(FIND(" + ",D25)),ISERROR(FIND("1/2 Congé Synd.",D25))),VLOOKUP(D25,Systeemgegevens!$J:$K,2,FALSE),0)))</f>
        <v>0</v>
      </c>
      <c r="AD25" s="43">
        <f>IF(AND(OR(D25="1/2 Congé Synd.",D25="Congé Synd."),((G25-F25)+(I25-H25)+(K25-J25)=0)),VLOOKUP(D25,Systeemgegevens!$J:$K,2,FALSE),IF(AND(D25="1/2 Congé + 1/2 synd.",((G25-F25)+(I25-H25)+(K25-J25)=0)),AC25,0))</f>
        <v>0</v>
      </c>
      <c r="AE25" s="43">
        <f>IF(AND(D25="Jour de pont",((G25-F25)+(I25-H25)+(K25-J25)=0)),VLOOKUP(D25,Systeemgegevens!$J:$K,2,FALSE),0)</f>
        <v>0</v>
      </c>
      <c r="AF25" s="43">
        <f>IF(AND(D25="Jour libre 4/5",AND((G25-F25)+(I25-H25)+(K25-J25)=0)),VLOOKUP(D25,Systeemgegevens!$J:$K,2,FALSE),0)</f>
        <v>0</v>
      </c>
      <c r="AG25" s="118">
        <f>IF(AND(D25&lt;&gt;"",SUM(AB25:AF25)=0,D25&lt;&gt;$AB$4,D25&lt;&gt;$AC$4,D25&lt;&gt;$AE$4,D25&lt;&gt;$AF$4),VLOOKUP(D25,Systeemgegevens!$J:$K,2,FALSE),0)</f>
        <v>0</v>
      </c>
      <c r="AH25" s="119">
        <f t="shared" si="6"/>
        <v>0</v>
      </c>
      <c r="AI25" s="101">
        <f t="shared" si="7"/>
        <v>0</v>
      </c>
      <c r="AJ25" s="118">
        <f t="shared" si="19"/>
        <v>0</v>
      </c>
      <c r="AK25" s="119">
        <f t="shared" si="8"/>
        <v>0</v>
      </c>
      <c r="AL25" s="101">
        <f t="shared" si="9"/>
        <v>0</v>
      </c>
      <c r="AM25" s="43">
        <f t="shared" si="20"/>
        <v>0</v>
      </c>
      <c r="AN25" s="118">
        <f t="shared" si="21"/>
        <v>0</v>
      </c>
      <c r="AO25" s="122">
        <f t="shared" si="10"/>
        <v>0</v>
      </c>
      <c r="AP25" s="107">
        <f t="shared" si="11"/>
        <v>0</v>
      </c>
      <c r="AQ25" s="107">
        <f t="shared" si="12"/>
        <v>0</v>
      </c>
      <c r="AR25" s="123">
        <f t="shared" si="13"/>
        <v>0</v>
      </c>
      <c r="AS25" s="124">
        <f t="shared" si="14"/>
        <v>0</v>
      </c>
      <c r="AT25" s="124">
        <f t="shared" si="15"/>
        <v>0</v>
      </c>
      <c r="AU25" s="124">
        <f t="shared" si="16"/>
        <v>0</v>
      </c>
      <c r="AV25" s="117" t="s">
        <v>20</v>
      </c>
      <c r="AW25" s="129">
        <f>IF(($R$41=AV25)*AND($R$42&lt;&gt;""),VLOOKUP($R$42,'Barèmes police'!$BA$4:$BB$34,2),0)</f>
        <v>0</v>
      </c>
      <c r="AX25" s="16" t="str">
        <f>IF('Types de jours'!F31&lt;&gt;"",'Types de jours'!F31,"")</f>
        <v/>
      </c>
      <c r="AY25" s="144" t="str">
        <f>IF(AX25&lt;&gt;"",'Types de jours'!I31,"")</f>
        <v/>
      </c>
      <c r="AZ25" s="269"/>
      <c r="BA25" s="154"/>
      <c r="BB25" s="154"/>
      <c r="BC25" s="154"/>
      <c r="BD25" s="154"/>
      <c r="BE25" s="154"/>
      <c r="BF25" s="154"/>
    </row>
    <row r="26" spans="1:58" ht="12.75" customHeight="1" x14ac:dyDescent="0.2">
      <c r="A26" s="34"/>
      <c r="B26" s="24" t="str">
        <f t="shared" si="0"/>
        <v>Je</v>
      </c>
      <c r="C26" s="25">
        <f t="shared" si="22"/>
        <v>45645</v>
      </c>
      <c r="D26" s="51"/>
      <c r="E26" s="116"/>
      <c r="F26" s="52"/>
      <c r="G26" s="53"/>
      <c r="H26" s="54"/>
      <c r="I26" s="55"/>
      <c r="J26" s="54"/>
      <c r="K26" s="55"/>
      <c r="L26" s="40">
        <f t="shared" si="1"/>
        <v>0</v>
      </c>
      <c r="M26" s="41">
        <f t="shared" si="23"/>
        <v>0.6333333333333333</v>
      </c>
      <c r="N26" s="42">
        <f>IF(AND(D26&lt;&gt;"Jour libre 4/5",B26&lt;&gt;"Sa",B26&lt;&gt;"Di"),SUM(N25,Configuration!$H$41),SUM(N25))</f>
        <v>11.083333333333327</v>
      </c>
      <c r="O26" s="49" t="str">
        <f t="shared" si="24"/>
        <v>-</v>
      </c>
      <c r="P26" s="143">
        <f t="shared" si="17"/>
        <v>10.449999999999994</v>
      </c>
      <c r="Q26" s="167">
        <f t="shared" si="18"/>
        <v>0</v>
      </c>
      <c r="R26" s="168">
        <f t="shared" si="18"/>
        <v>0</v>
      </c>
      <c r="S26" s="168">
        <f t="shared" si="18"/>
        <v>0</v>
      </c>
      <c r="T26" s="169">
        <f t="shared" si="18"/>
        <v>0</v>
      </c>
      <c r="U26" s="97">
        <f t="shared" si="2"/>
        <v>0</v>
      </c>
      <c r="V26" s="97">
        <f t="shared" si="3"/>
        <v>0</v>
      </c>
      <c r="W26" s="97">
        <f t="shared" si="4"/>
        <v>0</v>
      </c>
      <c r="X26" s="97">
        <f t="shared" si="5"/>
        <v>0</v>
      </c>
      <c r="Y26" s="209"/>
      <c r="Z26" s="210"/>
      <c r="AA26" s="210"/>
      <c r="AB26" s="128">
        <f>IF(AND(D26="Jour férié semaine",((G26-F26)+(I26-H26)+(K26-J26)=0)),VLOOKUP(D26,Systeemgegevens!$J:$K,2,FALSE),0)</f>
        <v>0</v>
      </c>
      <c r="AC26" s="43">
        <f>IF(AND(NOT(ISERROR(FIND("Congé",D26))),ISERROR(FIND("1/2",D26)),ISERROR(FIND("Synd",D26)),ISERROR(FIND("synd",D26)),(G26-F26+I26-H26+K26-J26)=0),VLOOKUP(D26,Systeemgegevens!$J:$K,2,FALSE),IF(AND(NOT(ISERROR(FIND("1/2 Congé + ",D26))),(G26-F26+I26-H26+K26-J26)=0),VLOOKUP(D26,Systeemgegevens!$J:$K,2,FALSE)/2,IF(AND(NOT(ISERROR(FIND("1/2 Congé",D26))),ISERROR(FIND(" + ",D26)),ISERROR(FIND("1/2 Congé Synd.",D26))),VLOOKUP(D26,Systeemgegevens!$J:$K,2,FALSE),0)))</f>
        <v>0</v>
      </c>
      <c r="AD26" s="43">
        <f>IF(AND(OR(D26="1/2 Congé Synd.",D26="Congé Synd."),((G26-F26)+(I26-H26)+(K26-J26)=0)),VLOOKUP(D26,Systeemgegevens!$J:$K,2,FALSE),IF(AND(D26="1/2 Congé + 1/2 synd.",((G26-F26)+(I26-H26)+(K26-J26)=0)),AC26,0))</f>
        <v>0</v>
      </c>
      <c r="AE26" s="43">
        <f>IF(AND(D26="Jour de pont",((G26-F26)+(I26-H26)+(K26-J26)=0)),VLOOKUP(D26,Systeemgegevens!$J:$K,2,FALSE),0)</f>
        <v>0</v>
      </c>
      <c r="AF26" s="43">
        <f>IF(AND(D26="Jour libre 4/5",AND((G26-F26)+(I26-H26)+(K26-J26)=0)),VLOOKUP(D26,Systeemgegevens!$J:$K,2,FALSE),0)</f>
        <v>0</v>
      </c>
      <c r="AG26" s="118">
        <f>IF(AND(D26&lt;&gt;"",SUM(AB26:AF26)=0,D26&lt;&gt;$AB$4,D26&lt;&gt;$AC$4,D26&lt;&gt;$AE$4,D26&lt;&gt;$AF$4),VLOOKUP(D26,Systeemgegevens!$J:$K,2,FALSE),0)</f>
        <v>0</v>
      </c>
      <c r="AH26" s="119">
        <f t="shared" si="6"/>
        <v>0</v>
      </c>
      <c r="AI26" s="101">
        <f t="shared" si="7"/>
        <v>0</v>
      </c>
      <c r="AJ26" s="118">
        <f t="shared" si="19"/>
        <v>0</v>
      </c>
      <c r="AK26" s="119">
        <f t="shared" si="8"/>
        <v>0</v>
      </c>
      <c r="AL26" s="101">
        <f t="shared" si="9"/>
        <v>0</v>
      </c>
      <c r="AM26" s="43">
        <f t="shared" si="20"/>
        <v>0</v>
      </c>
      <c r="AN26" s="118">
        <f t="shared" si="21"/>
        <v>0</v>
      </c>
      <c r="AO26" s="122">
        <f t="shared" si="10"/>
        <v>0</v>
      </c>
      <c r="AP26" s="107">
        <f t="shared" si="11"/>
        <v>0</v>
      </c>
      <c r="AQ26" s="107">
        <f t="shared" si="12"/>
        <v>0</v>
      </c>
      <c r="AR26" s="123">
        <f t="shared" si="13"/>
        <v>0</v>
      </c>
      <c r="AS26" s="124">
        <f t="shared" si="14"/>
        <v>0</v>
      </c>
      <c r="AT26" s="124">
        <f t="shared" si="15"/>
        <v>0</v>
      </c>
      <c r="AU26" s="124">
        <f t="shared" si="16"/>
        <v>0</v>
      </c>
      <c r="AV26" s="117" t="s">
        <v>19</v>
      </c>
      <c r="AW26" s="129">
        <f>IF(($R$41=AV26)*AND($R$42&lt;&gt;""),VLOOKUP($R$42,'Barèmes police'!$BD$4:$BE$30,2),0)</f>
        <v>0</v>
      </c>
      <c r="AX26" s="16" t="str">
        <f>IF('Types de jours'!F32&lt;&gt;"",'Types de jours'!F32,"")</f>
        <v/>
      </c>
      <c r="AY26" s="144" t="str">
        <f>IF(AX26&lt;&gt;"",'Types de jours'!I32,"")</f>
        <v/>
      </c>
      <c r="AZ26" s="269"/>
      <c r="BA26" s="154"/>
      <c r="BB26" s="154"/>
      <c r="BC26" s="154"/>
      <c r="BD26" s="154"/>
      <c r="BE26" s="154"/>
      <c r="BF26" s="154"/>
    </row>
    <row r="27" spans="1:58" ht="12.75" customHeight="1" x14ac:dyDescent="0.2">
      <c r="A27" s="34"/>
      <c r="B27" s="24" t="str">
        <f t="shared" si="0"/>
        <v>Ve</v>
      </c>
      <c r="C27" s="25">
        <f t="shared" si="22"/>
        <v>45646</v>
      </c>
      <c r="D27" s="51"/>
      <c r="E27" s="116"/>
      <c r="F27" s="52"/>
      <c r="G27" s="53"/>
      <c r="H27" s="54"/>
      <c r="I27" s="55"/>
      <c r="J27" s="54"/>
      <c r="K27" s="55"/>
      <c r="L27" s="40">
        <f t="shared" si="1"/>
        <v>0</v>
      </c>
      <c r="M27" s="41">
        <f t="shared" si="23"/>
        <v>0.6333333333333333</v>
      </c>
      <c r="N27" s="42">
        <f>IF(AND(D27&lt;&gt;"Jour libre 4/5",B27&lt;&gt;"Sa",B27&lt;&gt;"Di"),SUM(N26,Configuration!$H$41),SUM(N26))</f>
        <v>11.399999999999993</v>
      </c>
      <c r="O27" s="49" t="str">
        <f t="shared" si="24"/>
        <v>-</v>
      </c>
      <c r="P27" s="143">
        <f t="shared" si="17"/>
        <v>10.76666666666666</v>
      </c>
      <c r="Q27" s="167">
        <f t="shared" si="18"/>
        <v>0</v>
      </c>
      <c r="R27" s="168">
        <f t="shared" si="18"/>
        <v>0</v>
      </c>
      <c r="S27" s="168">
        <f t="shared" si="18"/>
        <v>0</v>
      </c>
      <c r="T27" s="169">
        <f t="shared" si="18"/>
        <v>0</v>
      </c>
      <c r="U27" s="97">
        <f t="shared" si="2"/>
        <v>0</v>
      </c>
      <c r="V27" s="97">
        <f t="shared" si="3"/>
        <v>0</v>
      </c>
      <c r="W27" s="97">
        <f t="shared" si="4"/>
        <v>0</v>
      </c>
      <c r="X27" s="97">
        <f t="shared" si="5"/>
        <v>0</v>
      </c>
      <c r="Y27" s="209"/>
      <c r="Z27" s="210"/>
      <c r="AA27" s="210"/>
      <c r="AB27" s="128">
        <f>IF(AND(D27="Jour férié semaine",((G27-F27)+(I27-H27)+(K27-J27)=0)),VLOOKUP(D27,Systeemgegevens!$J:$K,2,FALSE),0)</f>
        <v>0</v>
      </c>
      <c r="AC27" s="43">
        <f>IF(AND(NOT(ISERROR(FIND("Congé",D27))),ISERROR(FIND("1/2",D27)),ISERROR(FIND("Synd",D27)),ISERROR(FIND("synd",D27)),(G27-F27+I27-H27+K27-J27)=0),VLOOKUP(D27,Systeemgegevens!$J:$K,2,FALSE),IF(AND(NOT(ISERROR(FIND("1/2 Congé + ",D27))),(G27-F27+I27-H27+K27-J27)=0),VLOOKUP(D27,Systeemgegevens!$J:$K,2,FALSE)/2,IF(AND(NOT(ISERROR(FIND("1/2 Congé",D27))),ISERROR(FIND(" + ",D27)),ISERROR(FIND("1/2 Congé Synd.",D27))),VLOOKUP(D27,Systeemgegevens!$J:$K,2,FALSE),0)))</f>
        <v>0</v>
      </c>
      <c r="AD27" s="43">
        <f>IF(AND(OR(D27="1/2 Congé Synd.",D27="Congé Synd."),((G27-F27)+(I27-H27)+(K27-J27)=0)),VLOOKUP(D27,Systeemgegevens!$J:$K,2,FALSE),IF(AND(D27="1/2 Congé + 1/2 synd.",((G27-F27)+(I27-H27)+(K27-J27)=0)),AC27,0))</f>
        <v>0</v>
      </c>
      <c r="AE27" s="43">
        <f>IF(AND(D27="Jour de pont",((G27-F27)+(I27-H27)+(K27-J27)=0)),VLOOKUP(D27,Systeemgegevens!$J:$K,2,FALSE),0)</f>
        <v>0</v>
      </c>
      <c r="AF27" s="43">
        <f>IF(AND(D27="Jour libre 4/5",AND((G27-F27)+(I27-H27)+(K27-J27)=0)),VLOOKUP(D27,Systeemgegevens!$J:$K,2,FALSE),0)</f>
        <v>0</v>
      </c>
      <c r="AG27" s="118">
        <f>IF(AND(D27&lt;&gt;"",SUM(AB27:AF27)=0,D27&lt;&gt;$AB$4,D27&lt;&gt;$AC$4,D27&lt;&gt;$AE$4,D27&lt;&gt;$AF$4),VLOOKUP(D27,Systeemgegevens!$J:$K,2,FALSE),0)</f>
        <v>0</v>
      </c>
      <c r="AH27" s="119">
        <f t="shared" si="6"/>
        <v>0</v>
      </c>
      <c r="AI27" s="101">
        <f t="shared" si="7"/>
        <v>0</v>
      </c>
      <c r="AJ27" s="118">
        <f t="shared" si="19"/>
        <v>0</v>
      </c>
      <c r="AK27" s="119">
        <f t="shared" si="8"/>
        <v>0</v>
      </c>
      <c r="AL27" s="101">
        <f t="shared" si="9"/>
        <v>0</v>
      </c>
      <c r="AM27" s="43">
        <f t="shared" si="20"/>
        <v>0</v>
      </c>
      <c r="AN27" s="118">
        <f t="shared" si="21"/>
        <v>0</v>
      </c>
      <c r="AO27" s="122">
        <f t="shared" si="10"/>
        <v>0</v>
      </c>
      <c r="AP27" s="107">
        <f t="shared" si="11"/>
        <v>0</v>
      </c>
      <c r="AQ27" s="107">
        <f t="shared" si="12"/>
        <v>0</v>
      </c>
      <c r="AR27" s="123">
        <f t="shared" si="13"/>
        <v>0</v>
      </c>
      <c r="AS27" s="124">
        <f t="shared" si="14"/>
        <v>0</v>
      </c>
      <c r="AT27" s="124">
        <f t="shared" si="15"/>
        <v>0</v>
      </c>
      <c r="AU27" s="124">
        <f t="shared" si="16"/>
        <v>0</v>
      </c>
      <c r="AV27" s="117" t="s">
        <v>18</v>
      </c>
      <c r="AW27" s="129">
        <f>IF(($R$41=AV27)*AND($R$42&lt;&gt;""),VLOOKUP($R$42,'Barèmes police'!$BG$4:$BH$30,2),0)</f>
        <v>0</v>
      </c>
      <c r="AX27" s="16" t="str">
        <f>IF('Types de jours'!F33&lt;&gt;"",'Types de jours'!F33,"")</f>
        <v/>
      </c>
      <c r="AY27" s="144" t="str">
        <f>IF(AX27&lt;&gt;"",'Types de jours'!I33,"")</f>
        <v/>
      </c>
      <c r="AZ27" s="269"/>
      <c r="BA27" s="154"/>
      <c r="BB27" s="154"/>
      <c r="BC27" s="154"/>
      <c r="BD27" s="154"/>
      <c r="BE27" s="154"/>
      <c r="BF27" s="154"/>
    </row>
    <row r="28" spans="1:58" ht="12.75" customHeight="1" x14ac:dyDescent="0.2">
      <c r="A28" s="34"/>
      <c r="B28" s="24" t="str">
        <f t="shared" si="0"/>
        <v>Sa</v>
      </c>
      <c r="C28" s="25">
        <f t="shared" si="22"/>
        <v>45647</v>
      </c>
      <c r="D28" s="51"/>
      <c r="E28" s="116"/>
      <c r="F28" s="52"/>
      <c r="G28" s="53"/>
      <c r="H28" s="54"/>
      <c r="I28" s="55"/>
      <c r="J28" s="54"/>
      <c r="K28" s="55"/>
      <c r="L28" s="40">
        <f t="shared" si="1"/>
        <v>0</v>
      </c>
      <c r="M28" s="41">
        <f t="shared" si="23"/>
        <v>0.6333333333333333</v>
      </c>
      <c r="N28" s="42">
        <f>IF(AND(D28&lt;&gt;"Jour libre 4/5",B28&lt;&gt;"Sa",B28&lt;&gt;"Di"),SUM(N27,Configuration!$H$41),SUM(N27))</f>
        <v>11.399999999999993</v>
      </c>
      <c r="O28" s="49" t="str">
        <f t="shared" si="24"/>
        <v>-</v>
      </c>
      <c r="P28" s="143">
        <f t="shared" si="17"/>
        <v>10.76666666666666</v>
      </c>
      <c r="Q28" s="167">
        <f t="shared" si="18"/>
        <v>0</v>
      </c>
      <c r="R28" s="168">
        <f t="shared" si="18"/>
        <v>0</v>
      </c>
      <c r="S28" s="168">
        <f t="shared" si="18"/>
        <v>0</v>
      </c>
      <c r="T28" s="169">
        <f t="shared" si="18"/>
        <v>0</v>
      </c>
      <c r="U28" s="97">
        <f t="shared" si="2"/>
        <v>0</v>
      </c>
      <c r="V28" s="97">
        <f t="shared" si="3"/>
        <v>0</v>
      </c>
      <c r="W28" s="97">
        <f t="shared" si="4"/>
        <v>0</v>
      </c>
      <c r="X28" s="97">
        <f t="shared" si="5"/>
        <v>0</v>
      </c>
      <c r="Y28" s="209"/>
      <c r="Z28" s="210"/>
      <c r="AA28" s="210"/>
      <c r="AB28" s="128">
        <f>IF(AND(D28="Jour férié semaine",((G28-F28)+(I28-H28)+(K28-J28)=0)),VLOOKUP(D28,Systeemgegevens!$J:$K,2,FALSE),0)</f>
        <v>0</v>
      </c>
      <c r="AC28" s="43">
        <f>IF(AND(NOT(ISERROR(FIND("Congé",D28))),ISERROR(FIND("1/2",D28)),ISERROR(FIND("Synd",D28)),ISERROR(FIND("synd",D28)),(G28-F28+I28-H28+K28-J28)=0),VLOOKUP(D28,Systeemgegevens!$J:$K,2,FALSE),IF(AND(NOT(ISERROR(FIND("1/2 Congé + ",D28))),(G28-F28+I28-H28+K28-J28)=0),VLOOKUP(D28,Systeemgegevens!$J:$K,2,FALSE)/2,IF(AND(NOT(ISERROR(FIND("1/2 Congé",D28))),ISERROR(FIND(" + ",D28)),ISERROR(FIND("1/2 Congé Synd.",D28))),VLOOKUP(D28,Systeemgegevens!$J:$K,2,FALSE),0)))</f>
        <v>0</v>
      </c>
      <c r="AD28" s="43">
        <f>IF(AND(OR(D28="1/2 Congé Synd.",D28="Congé Synd."),((G28-F28)+(I28-H28)+(K28-J28)=0)),VLOOKUP(D28,Systeemgegevens!$J:$K,2,FALSE),IF(AND(D28="1/2 Congé + 1/2 synd.",((G28-F28)+(I28-H28)+(K28-J28)=0)),AC28,0))</f>
        <v>0</v>
      </c>
      <c r="AE28" s="43">
        <f>IF(AND(D28="Jour de pont",((G28-F28)+(I28-H28)+(K28-J28)=0)),VLOOKUP(D28,Systeemgegevens!$J:$K,2,FALSE),0)</f>
        <v>0</v>
      </c>
      <c r="AF28" s="43">
        <f>IF(AND(D28="Jour libre 4/5",AND((G28-F28)+(I28-H28)+(K28-J28)=0)),VLOOKUP(D28,Systeemgegevens!$J:$K,2,FALSE),0)</f>
        <v>0</v>
      </c>
      <c r="AG28" s="118">
        <f>IF(AND(D28&lt;&gt;"",SUM(AB28:AF28)=0,D28&lt;&gt;$AB$4,D28&lt;&gt;$AC$4,D28&lt;&gt;$AE$4,D28&lt;&gt;$AF$4),VLOOKUP(D28,Systeemgegevens!$J:$K,2,FALSE),0)</f>
        <v>0</v>
      </c>
      <c r="AH28" s="119">
        <f t="shared" si="6"/>
        <v>0</v>
      </c>
      <c r="AI28" s="101">
        <f t="shared" si="7"/>
        <v>0</v>
      </c>
      <c r="AJ28" s="118">
        <f t="shared" si="19"/>
        <v>0</v>
      </c>
      <c r="AK28" s="119">
        <f t="shared" si="8"/>
        <v>0</v>
      </c>
      <c r="AL28" s="101">
        <f t="shared" si="9"/>
        <v>0</v>
      </c>
      <c r="AM28" s="43">
        <f t="shared" si="20"/>
        <v>0</v>
      </c>
      <c r="AN28" s="118">
        <f t="shared" si="21"/>
        <v>0</v>
      </c>
      <c r="AO28" s="122">
        <f t="shared" si="10"/>
        <v>0</v>
      </c>
      <c r="AP28" s="107">
        <f t="shared" si="11"/>
        <v>0</v>
      </c>
      <c r="AQ28" s="107">
        <f t="shared" si="12"/>
        <v>0</v>
      </c>
      <c r="AR28" s="123">
        <f t="shared" si="13"/>
        <v>0</v>
      </c>
      <c r="AS28" s="124">
        <f t="shared" si="14"/>
        <v>0</v>
      </c>
      <c r="AT28" s="124">
        <f t="shared" si="15"/>
        <v>0</v>
      </c>
      <c r="AU28" s="124">
        <f t="shared" si="16"/>
        <v>0</v>
      </c>
      <c r="AV28" s="117" t="s">
        <v>17</v>
      </c>
      <c r="AW28" s="129">
        <f>IF(($R$41=AV28)*AND($R$42&lt;&gt;""),VLOOKUP($R$42,'Barèmes police'!$BJ$4:$BK$30,2),0)</f>
        <v>0</v>
      </c>
      <c r="AX28" s="16" t="str">
        <f>IF('Types de jours'!F34&lt;&gt;"",'Types de jours'!F34,"")</f>
        <v/>
      </c>
      <c r="AY28" s="144" t="str">
        <f>IF(AX28&lt;&gt;"",'Types de jours'!I34,"")</f>
        <v/>
      </c>
      <c r="AZ28" s="269"/>
      <c r="BA28" s="154"/>
      <c r="BB28" s="154"/>
      <c r="BC28" s="154"/>
      <c r="BD28" s="154"/>
      <c r="BE28" s="154"/>
      <c r="BF28" s="154"/>
    </row>
    <row r="29" spans="1:58" ht="12.75" customHeight="1" x14ac:dyDescent="0.2">
      <c r="A29" s="34"/>
      <c r="B29" s="24" t="str">
        <f t="shared" si="0"/>
        <v>Di</v>
      </c>
      <c r="C29" s="25">
        <f t="shared" si="22"/>
        <v>45648</v>
      </c>
      <c r="D29" s="51"/>
      <c r="E29" s="116"/>
      <c r="F29" s="52"/>
      <c r="G29" s="53"/>
      <c r="H29" s="54"/>
      <c r="I29" s="55"/>
      <c r="J29" s="54"/>
      <c r="K29" s="55"/>
      <c r="L29" s="40">
        <f t="shared" si="1"/>
        <v>0</v>
      </c>
      <c r="M29" s="41">
        <f t="shared" si="23"/>
        <v>0.6333333333333333</v>
      </c>
      <c r="N29" s="42">
        <f>IF(AND(D29&lt;&gt;"Jour libre 4/5",B29&lt;&gt;"Sa",B29&lt;&gt;"Di"),SUM(N28,Configuration!$H$41),SUM(N28))</f>
        <v>11.399999999999993</v>
      </c>
      <c r="O29" s="49" t="str">
        <f t="shared" si="24"/>
        <v>-</v>
      </c>
      <c r="P29" s="143">
        <f t="shared" si="17"/>
        <v>10.76666666666666</v>
      </c>
      <c r="Q29" s="167">
        <f t="shared" si="18"/>
        <v>0</v>
      </c>
      <c r="R29" s="168">
        <f t="shared" si="18"/>
        <v>0</v>
      </c>
      <c r="S29" s="168">
        <f t="shared" si="18"/>
        <v>0</v>
      </c>
      <c r="T29" s="169">
        <f t="shared" si="18"/>
        <v>0</v>
      </c>
      <c r="U29" s="97">
        <f t="shared" si="2"/>
        <v>0</v>
      </c>
      <c r="V29" s="97">
        <f t="shared" si="3"/>
        <v>0</v>
      </c>
      <c r="W29" s="97">
        <f t="shared" si="4"/>
        <v>0</v>
      </c>
      <c r="X29" s="97">
        <f t="shared" si="5"/>
        <v>0</v>
      </c>
      <c r="Y29" s="209"/>
      <c r="Z29" s="210"/>
      <c r="AA29" s="210"/>
      <c r="AB29" s="128">
        <f>IF(AND(D29="Jour férié semaine",((G29-F29)+(I29-H29)+(K29-J29)=0)),VLOOKUP(D29,Systeemgegevens!$J:$K,2,FALSE),0)</f>
        <v>0</v>
      </c>
      <c r="AC29" s="43">
        <f>IF(AND(NOT(ISERROR(FIND("Congé",D29))),ISERROR(FIND("1/2",D29)),ISERROR(FIND("Synd",D29)),ISERROR(FIND("synd",D29)),(G29-F29+I29-H29+K29-J29)=0),VLOOKUP(D29,Systeemgegevens!$J:$K,2,FALSE),IF(AND(NOT(ISERROR(FIND("1/2 Congé + ",D29))),(G29-F29+I29-H29+K29-J29)=0),VLOOKUP(D29,Systeemgegevens!$J:$K,2,FALSE)/2,IF(AND(NOT(ISERROR(FIND("1/2 Congé",D29))),ISERROR(FIND(" + ",D29)),ISERROR(FIND("1/2 Congé Synd.",D29))),VLOOKUP(D29,Systeemgegevens!$J:$K,2,FALSE),0)))</f>
        <v>0</v>
      </c>
      <c r="AD29" s="43">
        <f>IF(AND(OR(D29="1/2 Congé Synd.",D29="Congé Synd."),((G29-F29)+(I29-H29)+(K29-J29)=0)),VLOOKUP(D29,Systeemgegevens!$J:$K,2,FALSE),IF(AND(D29="1/2 Congé + 1/2 synd.",((G29-F29)+(I29-H29)+(K29-J29)=0)),AC29,0))</f>
        <v>0</v>
      </c>
      <c r="AE29" s="43">
        <f>IF(AND(D29="Jour de pont",((G29-F29)+(I29-H29)+(K29-J29)=0)),VLOOKUP(D29,Systeemgegevens!$J:$K,2,FALSE),0)</f>
        <v>0</v>
      </c>
      <c r="AF29" s="43">
        <f>IF(AND(D29="Jour libre 4/5",AND((G29-F29)+(I29-H29)+(K29-J29)=0)),VLOOKUP(D29,Systeemgegevens!$J:$K,2,FALSE),0)</f>
        <v>0</v>
      </c>
      <c r="AG29" s="118">
        <f>IF(AND(D29&lt;&gt;"",SUM(AB29:AF29)=0,D29&lt;&gt;$AB$4,D29&lt;&gt;$AC$4,D29&lt;&gt;$AE$4,D29&lt;&gt;$AF$4),VLOOKUP(D29,Systeemgegevens!$J:$K,2,FALSE),0)</f>
        <v>0</v>
      </c>
      <c r="AH29" s="119">
        <f t="shared" si="6"/>
        <v>0</v>
      </c>
      <c r="AI29" s="101">
        <f t="shared" si="7"/>
        <v>0</v>
      </c>
      <c r="AJ29" s="118">
        <f t="shared" si="19"/>
        <v>0</v>
      </c>
      <c r="AK29" s="119">
        <f t="shared" si="8"/>
        <v>0</v>
      </c>
      <c r="AL29" s="101">
        <f t="shared" si="9"/>
        <v>0</v>
      </c>
      <c r="AM29" s="43">
        <f t="shared" si="20"/>
        <v>0</v>
      </c>
      <c r="AN29" s="118">
        <f t="shared" si="21"/>
        <v>0</v>
      </c>
      <c r="AO29" s="122">
        <f t="shared" si="10"/>
        <v>0</v>
      </c>
      <c r="AP29" s="107">
        <f t="shared" si="11"/>
        <v>0</v>
      </c>
      <c r="AQ29" s="107">
        <f t="shared" si="12"/>
        <v>0</v>
      </c>
      <c r="AR29" s="123">
        <f t="shared" si="13"/>
        <v>0</v>
      </c>
      <c r="AS29" s="124">
        <f t="shared" si="14"/>
        <v>0</v>
      </c>
      <c r="AT29" s="124">
        <f t="shared" si="15"/>
        <v>0</v>
      </c>
      <c r="AU29" s="124">
        <f t="shared" si="16"/>
        <v>0</v>
      </c>
      <c r="AV29" s="117" t="s">
        <v>16</v>
      </c>
      <c r="AW29" s="129">
        <f>IF(($R$41=AV29)*AND($R$42&lt;&gt;""),VLOOKUP($R$42,'Barèmes police'!$BM$4:$BN$30,2),0)</f>
        <v>0</v>
      </c>
      <c r="AX29" s="145" t="str">
        <f>IF('Types de jours'!F35&lt;&gt;"",'Types de jours'!F35,"")</f>
        <v/>
      </c>
      <c r="AY29" s="146" t="str">
        <f>IF(AX29&lt;&gt;"",'Types de jours'!I35,"")</f>
        <v/>
      </c>
      <c r="AZ29" s="269"/>
      <c r="BA29" s="154"/>
      <c r="BB29" s="154"/>
      <c r="BC29" s="154"/>
      <c r="BD29" s="154"/>
      <c r="BE29" s="154"/>
      <c r="BF29" s="154"/>
    </row>
    <row r="30" spans="1:58" ht="12.75" customHeight="1" x14ac:dyDescent="0.2">
      <c r="A30" s="34"/>
      <c r="B30" s="24" t="str">
        <f t="shared" si="0"/>
        <v>Lu</v>
      </c>
      <c r="C30" s="25">
        <f t="shared" si="22"/>
        <v>45649</v>
      </c>
      <c r="D30" s="51"/>
      <c r="E30" s="116"/>
      <c r="F30" s="52"/>
      <c r="G30" s="53"/>
      <c r="H30" s="54"/>
      <c r="I30" s="55"/>
      <c r="J30" s="54"/>
      <c r="K30" s="55"/>
      <c r="L30" s="40">
        <f t="shared" si="1"/>
        <v>0</v>
      </c>
      <c r="M30" s="41">
        <f t="shared" si="23"/>
        <v>0.6333333333333333</v>
      </c>
      <c r="N30" s="42">
        <f>IF(AND(D30&lt;&gt;"Jour libre 4/5",B30&lt;&gt;"Sa",B30&lt;&gt;"Di"),SUM(N29,Configuration!$H$41),SUM(N29))</f>
        <v>11.71666666666666</v>
      </c>
      <c r="O30" s="49" t="str">
        <f t="shared" si="24"/>
        <v>-</v>
      </c>
      <c r="P30" s="143">
        <f t="shared" si="17"/>
        <v>11.083333333333327</v>
      </c>
      <c r="Q30" s="167">
        <f t="shared" si="18"/>
        <v>0</v>
      </c>
      <c r="R30" s="168">
        <f t="shared" si="18"/>
        <v>0</v>
      </c>
      <c r="S30" s="168">
        <f t="shared" si="18"/>
        <v>0</v>
      </c>
      <c r="T30" s="169">
        <f t="shared" si="18"/>
        <v>0</v>
      </c>
      <c r="U30" s="97">
        <f t="shared" si="2"/>
        <v>0</v>
      </c>
      <c r="V30" s="97">
        <f t="shared" si="3"/>
        <v>0</v>
      </c>
      <c r="W30" s="97">
        <f t="shared" si="4"/>
        <v>0</v>
      </c>
      <c r="X30" s="97">
        <f t="shared" si="5"/>
        <v>0</v>
      </c>
      <c r="Y30" s="209"/>
      <c r="Z30" s="210"/>
      <c r="AA30" s="210"/>
      <c r="AB30" s="128">
        <f>IF(AND(D30="Jour férié semaine",((G30-F30)+(I30-H30)+(K30-J30)=0)),VLOOKUP(D30,Systeemgegevens!$J:$K,2,FALSE),0)</f>
        <v>0</v>
      </c>
      <c r="AC30" s="43">
        <f>IF(AND(NOT(ISERROR(FIND("Congé",D30))),ISERROR(FIND("1/2",D30)),ISERROR(FIND("Synd",D30)),ISERROR(FIND("synd",D30)),(G30-F30+I30-H30+K30-J30)=0),VLOOKUP(D30,Systeemgegevens!$J:$K,2,FALSE),IF(AND(NOT(ISERROR(FIND("1/2 Congé + ",D30))),(G30-F30+I30-H30+K30-J30)=0),VLOOKUP(D30,Systeemgegevens!$J:$K,2,FALSE)/2,IF(AND(NOT(ISERROR(FIND("1/2 Congé",D30))),ISERROR(FIND(" + ",D30)),ISERROR(FIND("1/2 Congé Synd.",D30))),VLOOKUP(D30,Systeemgegevens!$J:$K,2,FALSE),0)))</f>
        <v>0</v>
      </c>
      <c r="AD30" s="43">
        <f>IF(AND(OR(D30="1/2 Congé Synd.",D30="Congé Synd."),((G30-F30)+(I30-H30)+(K30-J30)=0)),VLOOKUP(D30,Systeemgegevens!$J:$K,2,FALSE),IF(AND(D30="1/2 Congé + 1/2 synd.",((G30-F30)+(I30-H30)+(K30-J30)=0)),AC30,0))</f>
        <v>0</v>
      </c>
      <c r="AE30" s="43">
        <f>IF(AND(D30="Jour de pont",((G30-F30)+(I30-H30)+(K30-J30)=0)),VLOOKUP(D30,Systeemgegevens!$J:$K,2,FALSE),0)</f>
        <v>0</v>
      </c>
      <c r="AF30" s="43">
        <f>IF(AND(D30="Jour libre 4/5",AND((G30-F30)+(I30-H30)+(K30-J30)=0)),VLOOKUP(D30,Systeemgegevens!$J:$K,2,FALSE),0)</f>
        <v>0</v>
      </c>
      <c r="AG30" s="118">
        <f>IF(AND(D30&lt;&gt;"",SUM(AB30:AF30)=0,D30&lt;&gt;$AB$4,D30&lt;&gt;$AC$4,D30&lt;&gt;$AE$4,D30&lt;&gt;$AF$4),VLOOKUP(D30,Systeemgegevens!$J:$K,2,FALSE),0)</f>
        <v>0</v>
      </c>
      <c r="AH30" s="119">
        <f t="shared" si="6"/>
        <v>0</v>
      </c>
      <c r="AI30" s="101">
        <f t="shared" si="7"/>
        <v>0</v>
      </c>
      <c r="AJ30" s="118">
        <f t="shared" si="19"/>
        <v>0</v>
      </c>
      <c r="AK30" s="119">
        <f t="shared" si="8"/>
        <v>0</v>
      </c>
      <c r="AL30" s="101">
        <f t="shared" si="9"/>
        <v>0</v>
      </c>
      <c r="AM30" s="43">
        <f t="shared" si="20"/>
        <v>0</v>
      </c>
      <c r="AN30" s="118">
        <f t="shared" si="21"/>
        <v>0</v>
      </c>
      <c r="AO30" s="122">
        <f t="shared" si="10"/>
        <v>0</v>
      </c>
      <c r="AP30" s="107">
        <f t="shared" si="11"/>
        <v>0</v>
      </c>
      <c r="AQ30" s="107">
        <f t="shared" si="12"/>
        <v>0</v>
      </c>
      <c r="AR30" s="123">
        <f t="shared" si="13"/>
        <v>0</v>
      </c>
      <c r="AS30" s="124">
        <f t="shared" si="14"/>
        <v>0</v>
      </c>
      <c r="AT30" s="124">
        <f t="shared" si="15"/>
        <v>0</v>
      </c>
      <c r="AU30" s="124">
        <f t="shared" si="16"/>
        <v>0</v>
      </c>
      <c r="AV30" s="117" t="s">
        <v>14</v>
      </c>
      <c r="AW30" s="129">
        <f>IF(($R$41=AV30)*AND($R$42&lt;&gt;""),VLOOKUP($R$42,'Barèmes police'!$B$40:$C$66,2),0)</f>
        <v>0</v>
      </c>
      <c r="AX30" s="129"/>
      <c r="AY30" s="129"/>
      <c r="AZ30" s="154"/>
      <c r="BA30" s="154"/>
      <c r="BB30" s="154"/>
      <c r="BC30" s="154"/>
      <c r="BD30" s="154"/>
      <c r="BE30" s="154"/>
      <c r="BF30" s="154"/>
    </row>
    <row r="31" spans="1:58" ht="12.75" customHeight="1" x14ac:dyDescent="0.2">
      <c r="A31" s="34"/>
      <c r="B31" s="24" t="str">
        <f t="shared" si="0"/>
        <v>Ma</v>
      </c>
      <c r="C31" s="25">
        <f t="shared" si="22"/>
        <v>45650</v>
      </c>
      <c r="D31" s="51"/>
      <c r="E31" s="116"/>
      <c r="F31" s="52"/>
      <c r="G31" s="53"/>
      <c r="H31" s="52"/>
      <c r="I31" s="53"/>
      <c r="J31" s="54"/>
      <c r="K31" s="55"/>
      <c r="L31" s="40">
        <f t="shared" si="1"/>
        <v>0</v>
      </c>
      <c r="M31" s="41">
        <f t="shared" si="23"/>
        <v>0.6333333333333333</v>
      </c>
      <c r="N31" s="42">
        <f>IF(AND(D31&lt;&gt;"Jour libre 4/5",B31&lt;&gt;"Sa",B31&lt;&gt;"Di"),SUM(N30,Configuration!$H$41),SUM(N30))</f>
        <v>12.033333333333326</v>
      </c>
      <c r="O31" s="49" t="str">
        <f t="shared" si="24"/>
        <v>-</v>
      </c>
      <c r="P31" s="143">
        <f t="shared" si="17"/>
        <v>11.399999999999993</v>
      </c>
      <c r="Q31" s="167">
        <f t="shared" si="18"/>
        <v>0</v>
      </c>
      <c r="R31" s="168">
        <f t="shared" si="18"/>
        <v>0</v>
      </c>
      <c r="S31" s="168">
        <f t="shared" si="18"/>
        <v>0</v>
      </c>
      <c r="T31" s="169">
        <f t="shared" si="18"/>
        <v>0</v>
      </c>
      <c r="U31" s="97">
        <f t="shared" si="2"/>
        <v>0</v>
      </c>
      <c r="V31" s="97">
        <f t="shared" si="3"/>
        <v>0</v>
      </c>
      <c r="W31" s="97">
        <f t="shared" si="4"/>
        <v>0</v>
      </c>
      <c r="X31" s="97">
        <f t="shared" si="5"/>
        <v>0</v>
      </c>
      <c r="Y31" s="209"/>
      <c r="Z31" s="210"/>
      <c r="AA31" s="210"/>
      <c r="AB31" s="128">
        <f>IF(AND(D31="Jour férié semaine",((G31-F31)+(I31-H31)+(K31-J31)=0)),VLOOKUP(D31,Systeemgegevens!$J:$K,2,FALSE),0)</f>
        <v>0</v>
      </c>
      <c r="AC31" s="43">
        <f>IF(AND(NOT(ISERROR(FIND("Congé",D31))),ISERROR(FIND("1/2",D31)),ISERROR(FIND("Synd",D31)),ISERROR(FIND("synd",D31)),(G31-F31+I31-H31+K31-J31)=0),VLOOKUP(D31,Systeemgegevens!$J:$K,2,FALSE),IF(AND(NOT(ISERROR(FIND("1/2 Congé + ",D31))),(G31-F31+I31-H31+K31-J31)=0),VLOOKUP(D31,Systeemgegevens!$J:$K,2,FALSE)/2,IF(AND(NOT(ISERROR(FIND("1/2 Congé",D31))),ISERROR(FIND(" + ",D31)),ISERROR(FIND("1/2 Congé Synd.",D31))),VLOOKUP(D31,Systeemgegevens!$J:$K,2,FALSE),0)))</f>
        <v>0</v>
      </c>
      <c r="AD31" s="43">
        <f>IF(AND(OR(D31="1/2 Congé Synd.",D31="Congé Synd."),((G31-F31)+(I31-H31)+(K31-J31)=0)),VLOOKUP(D31,Systeemgegevens!$J:$K,2,FALSE),IF(AND(D31="1/2 Congé + 1/2 synd.",((G31-F31)+(I31-H31)+(K31-J31)=0)),AC31,0))</f>
        <v>0</v>
      </c>
      <c r="AE31" s="43">
        <f>IF(AND(D31="Jour de pont",((G31-F31)+(I31-H31)+(K31-J31)=0)),VLOOKUP(D31,Systeemgegevens!$J:$K,2,FALSE),0)</f>
        <v>0</v>
      </c>
      <c r="AF31" s="43">
        <f>IF(AND(D31="Jour libre 4/5",AND((G31-F31)+(I31-H31)+(K31-J31)=0)),VLOOKUP(D31,Systeemgegevens!$J:$K,2,FALSE),0)</f>
        <v>0</v>
      </c>
      <c r="AG31" s="118">
        <f>IF(AND(D31&lt;&gt;"",SUM(AB31:AF31)=0,D31&lt;&gt;$AB$4,D31&lt;&gt;$AC$4,D31&lt;&gt;$AE$4,D31&lt;&gt;$AF$4),VLOOKUP(D31,Systeemgegevens!$J:$K,2,FALSE),0)</f>
        <v>0</v>
      </c>
      <c r="AH31" s="119">
        <f t="shared" si="6"/>
        <v>0</v>
      </c>
      <c r="AI31" s="101">
        <f t="shared" si="7"/>
        <v>0</v>
      </c>
      <c r="AJ31" s="118">
        <f t="shared" si="19"/>
        <v>0</v>
      </c>
      <c r="AK31" s="119">
        <f t="shared" si="8"/>
        <v>0</v>
      </c>
      <c r="AL31" s="101">
        <f t="shared" si="9"/>
        <v>0</v>
      </c>
      <c r="AM31" s="43">
        <f t="shared" si="20"/>
        <v>0</v>
      </c>
      <c r="AN31" s="118">
        <f t="shared" si="21"/>
        <v>0</v>
      </c>
      <c r="AO31" s="122">
        <f t="shared" si="10"/>
        <v>0</v>
      </c>
      <c r="AP31" s="107">
        <f t="shared" si="11"/>
        <v>0</v>
      </c>
      <c r="AQ31" s="107">
        <f t="shared" si="12"/>
        <v>0</v>
      </c>
      <c r="AR31" s="123">
        <f t="shared" si="13"/>
        <v>0</v>
      </c>
      <c r="AS31" s="124">
        <f t="shared" si="14"/>
        <v>0</v>
      </c>
      <c r="AT31" s="124">
        <f t="shared" si="15"/>
        <v>0</v>
      </c>
      <c r="AU31" s="124">
        <f t="shared" si="16"/>
        <v>0</v>
      </c>
      <c r="AV31" s="117" t="s">
        <v>13</v>
      </c>
      <c r="AW31" s="129">
        <f>IF(($R$41=AV31)*AND($R$42&lt;&gt;""),VLOOKUP($R$42,'Barèmes police'!$E$40:$F$66,2),0)</f>
        <v>0</v>
      </c>
      <c r="AX31" s="129"/>
      <c r="AY31" s="129"/>
      <c r="AZ31" s="154"/>
      <c r="BA31" s="154"/>
      <c r="BB31" s="154"/>
      <c r="BC31" s="154"/>
      <c r="BD31" s="154"/>
      <c r="BE31" s="154"/>
      <c r="BF31" s="154"/>
    </row>
    <row r="32" spans="1:58" ht="12.75" customHeight="1" x14ac:dyDescent="0.2">
      <c r="A32" s="34"/>
      <c r="B32" s="24" t="str">
        <f t="shared" si="0"/>
        <v>Me</v>
      </c>
      <c r="C32" s="25">
        <f t="shared" si="22"/>
        <v>45651</v>
      </c>
      <c r="D32" s="51" t="s">
        <v>259</v>
      </c>
      <c r="E32" s="116"/>
      <c r="F32" s="52"/>
      <c r="G32" s="53"/>
      <c r="H32" s="52"/>
      <c r="I32" s="53"/>
      <c r="J32" s="54"/>
      <c r="K32" s="55"/>
      <c r="L32" s="40">
        <f t="shared" si="1"/>
        <v>0.31666666666666665</v>
      </c>
      <c r="M32" s="41">
        <f t="shared" si="23"/>
        <v>0.95</v>
      </c>
      <c r="N32" s="42">
        <f>IF(AND(D32&lt;&gt;"Jour libre 4/5",B32&lt;&gt;"Sa",B32&lt;&gt;"Di"),SUM(N31,Configuration!$H$41),SUM(N31))</f>
        <v>12.349999999999993</v>
      </c>
      <c r="O32" s="49" t="str">
        <f t="shared" si="24"/>
        <v>-</v>
      </c>
      <c r="P32" s="143">
        <f t="shared" si="17"/>
        <v>11.399999999999993</v>
      </c>
      <c r="Q32" s="167">
        <f t="shared" si="18"/>
        <v>0</v>
      </c>
      <c r="R32" s="168">
        <f t="shared" si="18"/>
        <v>0</v>
      </c>
      <c r="S32" s="168">
        <f t="shared" si="18"/>
        <v>0</v>
      </c>
      <c r="T32" s="169">
        <f t="shared" si="18"/>
        <v>0</v>
      </c>
      <c r="U32" s="97">
        <f t="shared" si="2"/>
        <v>0</v>
      </c>
      <c r="V32" s="97">
        <f t="shared" si="3"/>
        <v>0</v>
      </c>
      <c r="W32" s="97">
        <f t="shared" si="4"/>
        <v>0</v>
      </c>
      <c r="X32" s="97">
        <f t="shared" si="5"/>
        <v>0</v>
      </c>
      <c r="Y32" s="209"/>
      <c r="Z32" s="210"/>
      <c r="AA32" s="210"/>
      <c r="AB32" s="128">
        <f>IF(AND(D32="Jour férié semaine",((G32-F32)+(I32-H32)+(K32-J32)=0)),VLOOKUP(D32,Systeemgegevens!$J:$K,2,FALSE),0)</f>
        <v>0.31666666666666665</v>
      </c>
      <c r="AC32" s="43">
        <f>IF(AND(NOT(ISERROR(FIND("Congé",D32))),ISERROR(FIND("1/2",D32)),ISERROR(FIND("Synd",D32)),ISERROR(FIND("synd",D32)),(G32-F32+I32-H32+K32-J32)=0),VLOOKUP(D32,Systeemgegevens!$J:$K,2,FALSE),IF(AND(NOT(ISERROR(FIND("1/2 Congé + ",D32))),(G32-F32+I32-H32+K32-J32)=0),VLOOKUP(D32,Systeemgegevens!$J:$K,2,FALSE)/2,IF(AND(NOT(ISERROR(FIND("1/2 Congé",D32))),ISERROR(FIND(" + ",D32)),ISERROR(FIND("1/2 Congé Synd.",D32))),VLOOKUP(D32,Systeemgegevens!$J:$K,2,FALSE),0)))</f>
        <v>0</v>
      </c>
      <c r="AD32" s="43">
        <f>IF(AND(OR(D32="1/2 Congé Synd.",D32="Congé Synd."),((G32-F32)+(I32-H32)+(K32-J32)=0)),VLOOKUP(D32,Systeemgegevens!$J:$K,2,FALSE),IF(AND(D32="1/2 Congé + 1/2 synd.",((G32-F32)+(I32-H32)+(K32-J32)=0)),AC32,0))</f>
        <v>0</v>
      </c>
      <c r="AE32" s="43">
        <f>IF(AND(D32="Jour de pont",((G32-F32)+(I32-H32)+(K32-J32)=0)),VLOOKUP(D32,Systeemgegevens!$J:$K,2,FALSE),0)</f>
        <v>0</v>
      </c>
      <c r="AF32" s="43">
        <f>IF(AND(D32="Jour libre 4/5",AND((G32-F32)+(I32-H32)+(K32-J32)=0)),VLOOKUP(D32,Systeemgegevens!$J:$K,2,FALSE),0)</f>
        <v>0</v>
      </c>
      <c r="AG32" s="118">
        <f>IF(AND(D32&lt;&gt;"",SUM(AB32:AF32)=0,D32&lt;&gt;$AB$4,D32&lt;&gt;$AC$4,D32&lt;&gt;$AE$4,D32&lt;&gt;$AF$4),VLOOKUP(D32,Systeemgegevens!$J:$K,2,FALSE),0)</f>
        <v>0</v>
      </c>
      <c r="AH32" s="119">
        <f t="shared" si="6"/>
        <v>0</v>
      </c>
      <c r="AI32" s="101">
        <f t="shared" si="7"/>
        <v>0</v>
      </c>
      <c r="AJ32" s="118">
        <f t="shared" si="19"/>
        <v>0</v>
      </c>
      <c r="AK32" s="119">
        <f t="shared" si="8"/>
        <v>0</v>
      </c>
      <c r="AL32" s="101">
        <f t="shared" si="9"/>
        <v>0</v>
      </c>
      <c r="AM32" s="43">
        <f t="shared" si="20"/>
        <v>0</v>
      </c>
      <c r="AN32" s="118">
        <f t="shared" si="21"/>
        <v>0</v>
      </c>
      <c r="AO32" s="122">
        <f t="shared" si="10"/>
        <v>0</v>
      </c>
      <c r="AP32" s="107">
        <f t="shared" si="11"/>
        <v>0</v>
      </c>
      <c r="AQ32" s="107">
        <f t="shared" si="12"/>
        <v>0</v>
      </c>
      <c r="AR32" s="123">
        <f t="shared" si="13"/>
        <v>0</v>
      </c>
      <c r="AS32" s="124">
        <f t="shared" si="14"/>
        <v>0</v>
      </c>
      <c r="AT32" s="124">
        <f t="shared" si="15"/>
        <v>0</v>
      </c>
      <c r="AU32" s="124">
        <f t="shared" si="16"/>
        <v>0</v>
      </c>
      <c r="AV32" s="117" t="s">
        <v>7</v>
      </c>
      <c r="AW32" s="129">
        <f>IF(($R$41=AV32)*AND($R$42&lt;&gt;""),VLOOKUP($R$42,'Barèmes police'!$AC$40:$AD$66,2),0)</f>
        <v>0</v>
      </c>
      <c r="AX32" s="129"/>
      <c r="AY32" s="129"/>
      <c r="AZ32" s="154"/>
      <c r="BA32" s="154"/>
      <c r="BB32" s="154"/>
      <c r="BC32" s="154"/>
      <c r="BD32" s="154"/>
      <c r="BE32" s="154"/>
      <c r="BF32" s="154"/>
    </row>
    <row r="33" spans="1:58" ht="12.75" customHeight="1" x14ac:dyDescent="0.2">
      <c r="A33" s="34"/>
      <c r="B33" s="24" t="str">
        <f t="shared" si="0"/>
        <v>Je</v>
      </c>
      <c r="C33" s="25">
        <f t="shared" si="22"/>
        <v>45652</v>
      </c>
      <c r="D33" s="51" t="s">
        <v>259</v>
      </c>
      <c r="E33" s="116"/>
      <c r="F33" s="52"/>
      <c r="G33" s="53"/>
      <c r="H33" s="54"/>
      <c r="I33" s="55"/>
      <c r="J33" s="54"/>
      <c r="K33" s="55"/>
      <c r="L33" s="40">
        <f t="shared" si="1"/>
        <v>0.31666666666666665</v>
      </c>
      <c r="M33" s="41">
        <f t="shared" si="23"/>
        <v>1.2666666666666666</v>
      </c>
      <c r="N33" s="42">
        <f>IF(AND(D33&lt;&gt;"Jour libre 4/5",B33&lt;&gt;"Sa",B33&lt;&gt;"Di"),SUM(N32,Configuration!$H$41),SUM(N32))</f>
        <v>12.666666666666659</v>
      </c>
      <c r="O33" s="49" t="str">
        <f t="shared" si="24"/>
        <v>-</v>
      </c>
      <c r="P33" s="143">
        <f t="shared" si="17"/>
        <v>11.399999999999991</v>
      </c>
      <c r="Q33" s="167">
        <f t="shared" si="18"/>
        <v>0</v>
      </c>
      <c r="R33" s="168">
        <f t="shared" si="18"/>
        <v>0</v>
      </c>
      <c r="S33" s="168">
        <f t="shared" si="18"/>
        <v>0</v>
      </c>
      <c r="T33" s="169">
        <f t="shared" si="18"/>
        <v>0</v>
      </c>
      <c r="U33" s="97">
        <f t="shared" si="2"/>
        <v>0</v>
      </c>
      <c r="V33" s="97">
        <f t="shared" si="3"/>
        <v>0</v>
      </c>
      <c r="W33" s="97">
        <f t="shared" si="4"/>
        <v>0</v>
      </c>
      <c r="X33" s="97">
        <f t="shared" si="5"/>
        <v>0</v>
      </c>
      <c r="Y33" s="209"/>
      <c r="Z33" s="210"/>
      <c r="AA33" s="210"/>
      <c r="AB33" s="128">
        <f>IF(AND(D33="Jour férié semaine",((G33-F33)+(I33-H33)+(K33-J33)=0)),VLOOKUP(D33,Systeemgegevens!$J:$K,2,FALSE),0)</f>
        <v>0.31666666666666665</v>
      </c>
      <c r="AC33" s="43">
        <f>IF(AND(NOT(ISERROR(FIND("Congé",D33))),ISERROR(FIND("1/2",D33)),ISERROR(FIND("Synd",D33)),ISERROR(FIND("synd",D33)),(G33-F33+I33-H33+K33-J33)=0),VLOOKUP(D33,Systeemgegevens!$J:$K,2,FALSE),IF(AND(NOT(ISERROR(FIND("1/2 Congé + ",D33))),(G33-F33+I33-H33+K33-J33)=0),VLOOKUP(D33,Systeemgegevens!$J:$K,2,FALSE)/2,IF(AND(NOT(ISERROR(FIND("1/2 Congé",D33))),ISERROR(FIND(" + ",D33)),ISERROR(FIND("1/2 Congé Synd.",D33))),VLOOKUP(D33,Systeemgegevens!$J:$K,2,FALSE),0)))</f>
        <v>0</v>
      </c>
      <c r="AD33" s="43">
        <f>IF(AND(OR(D33="1/2 Congé Synd.",D33="Congé Synd."),((G33-F33)+(I33-H33)+(K33-J33)=0)),VLOOKUP(D33,Systeemgegevens!$J:$K,2,FALSE),IF(AND(D33="1/2 Congé + 1/2 synd.",((G33-F33)+(I33-H33)+(K33-J33)=0)),AC33,0))</f>
        <v>0</v>
      </c>
      <c r="AE33" s="43">
        <f>IF(AND(D33="Jour de pont",((G33-F33)+(I33-H33)+(K33-J33)=0)),VLOOKUP(D33,Systeemgegevens!$J:$K,2,FALSE),0)</f>
        <v>0</v>
      </c>
      <c r="AF33" s="43">
        <f>IF(AND(D33="Jour libre 4/5",AND((G33-F33)+(I33-H33)+(K33-J33)=0)),VLOOKUP(D33,Systeemgegevens!$J:$K,2,FALSE),0)</f>
        <v>0</v>
      </c>
      <c r="AG33" s="118">
        <f>IF(AND(D33&lt;&gt;"",SUM(AB33:AF33)=0,D33&lt;&gt;$AB$4,D33&lt;&gt;$AC$4,D33&lt;&gt;$AE$4,D33&lt;&gt;$AF$4),VLOOKUP(D33,Systeemgegevens!$J:$K,2,FALSE),0)</f>
        <v>0</v>
      </c>
      <c r="AH33" s="119">
        <f t="shared" si="6"/>
        <v>0</v>
      </c>
      <c r="AI33" s="101">
        <f t="shared" si="7"/>
        <v>0</v>
      </c>
      <c r="AJ33" s="118">
        <f t="shared" si="19"/>
        <v>0</v>
      </c>
      <c r="AK33" s="119">
        <f t="shared" si="8"/>
        <v>0</v>
      </c>
      <c r="AL33" s="101">
        <f t="shared" si="9"/>
        <v>0</v>
      </c>
      <c r="AM33" s="43">
        <f t="shared" si="20"/>
        <v>0</v>
      </c>
      <c r="AN33" s="118">
        <f t="shared" si="21"/>
        <v>0</v>
      </c>
      <c r="AO33" s="122">
        <f t="shared" si="10"/>
        <v>0</v>
      </c>
      <c r="AP33" s="107">
        <f t="shared" si="11"/>
        <v>0</v>
      </c>
      <c r="AQ33" s="107">
        <f t="shared" si="12"/>
        <v>0</v>
      </c>
      <c r="AR33" s="123">
        <f t="shared" si="13"/>
        <v>0</v>
      </c>
      <c r="AS33" s="124">
        <f t="shared" si="14"/>
        <v>0</v>
      </c>
      <c r="AT33" s="124">
        <f t="shared" si="15"/>
        <v>0</v>
      </c>
      <c r="AU33" s="124">
        <f t="shared" si="16"/>
        <v>0</v>
      </c>
      <c r="AV33" s="117" t="s">
        <v>12</v>
      </c>
      <c r="AW33" s="129">
        <f>IF(($R$41=AV33)*AND($R$42&lt;&gt;""),VLOOKUP($R$42,'Barèmes police'!$H$40:$I$66,2),0)</f>
        <v>0</v>
      </c>
      <c r="AX33" s="129"/>
      <c r="AY33" s="129"/>
      <c r="AZ33" s="154"/>
      <c r="BA33" s="154"/>
      <c r="BB33" s="154"/>
      <c r="BC33" s="154"/>
      <c r="BD33" s="154"/>
      <c r="BE33" s="154"/>
      <c r="BF33" s="154"/>
    </row>
    <row r="34" spans="1:58" ht="12.75" customHeight="1" x14ac:dyDescent="0.2">
      <c r="A34" s="34"/>
      <c r="B34" s="24" t="str">
        <f t="shared" si="0"/>
        <v>Ve</v>
      </c>
      <c r="C34" s="25">
        <f t="shared" si="22"/>
        <v>45653</v>
      </c>
      <c r="D34" s="51" t="s">
        <v>166</v>
      </c>
      <c r="E34" s="116"/>
      <c r="F34" s="52"/>
      <c r="G34" s="53"/>
      <c r="H34" s="54"/>
      <c r="I34" s="55"/>
      <c r="J34" s="54"/>
      <c r="K34" s="55"/>
      <c r="L34" s="40">
        <f t="shared" si="1"/>
        <v>0.31666666666666665</v>
      </c>
      <c r="M34" s="41">
        <f t="shared" si="23"/>
        <v>1.5833333333333333</v>
      </c>
      <c r="N34" s="42">
        <f>IF(AND(D34&lt;&gt;"Jour libre 4/5",B34&lt;&gt;"Sa",B34&lt;&gt;"Di"),SUM(N33,Configuration!$H$41),SUM(N33))</f>
        <v>12.983333333333325</v>
      </c>
      <c r="O34" s="49" t="str">
        <f t="shared" si="24"/>
        <v>-</v>
      </c>
      <c r="P34" s="143">
        <f t="shared" si="17"/>
        <v>11.399999999999991</v>
      </c>
      <c r="Q34" s="167">
        <f t="shared" si="18"/>
        <v>0</v>
      </c>
      <c r="R34" s="168">
        <f t="shared" si="18"/>
        <v>0</v>
      </c>
      <c r="S34" s="168">
        <f t="shared" si="18"/>
        <v>0</v>
      </c>
      <c r="T34" s="169">
        <f t="shared" si="18"/>
        <v>0</v>
      </c>
      <c r="U34" s="97">
        <f t="shared" si="2"/>
        <v>0</v>
      </c>
      <c r="V34" s="97">
        <f t="shared" si="3"/>
        <v>0</v>
      </c>
      <c r="W34" s="97">
        <f t="shared" si="4"/>
        <v>0</v>
      </c>
      <c r="X34" s="97">
        <f t="shared" si="5"/>
        <v>0</v>
      </c>
      <c r="Y34" s="209"/>
      <c r="Z34" s="210"/>
      <c r="AA34" s="210"/>
      <c r="AB34" s="128">
        <f>IF(AND(D34="Jour férié semaine",((G34-F34)+(I34-H34)+(K34-J34)=0)),VLOOKUP(D34,Systeemgegevens!$J:$K,2,FALSE),0)</f>
        <v>0</v>
      </c>
      <c r="AC34" s="43">
        <f>IF(AND(NOT(ISERROR(FIND("Congé",D34))),ISERROR(FIND("1/2",D34)),ISERROR(FIND("Synd",D34)),ISERROR(FIND("synd",D34)),(G34-F34+I34-H34+K34-J34)=0),VLOOKUP(D34,Systeemgegevens!$J:$K,2,FALSE),IF(AND(NOT(ISERROR(FIND("1/2 Congé + ",D34))),(G34-F34+I34-H34+K34-J34)=0),VLOOKUP(D34,Systeemgegevens!$J:$K,2,FALSE)/2,IF(AND(NOT(ISERROR(FIND("1/2 Congé",D34))),ISERROR(FIND(" + ",D34)),ISERROR(FIND("1/2 Congé Synd.",D34))),VLOOKUP(D34,Systeemgegevens!$J:$K,2,FALSE),0)))</f>
        <v>0</v>
      </c>
      <c r="AD34" s="43">
        <f>IF(AND(OR(D34="1/2 Congé Synd.",D34="Congé Synd."),((G34-F34)+(I34-H34)+(K34-J34)=0)),VLOOKUP(D34,Systeemgegevens!$J:$K,2,FALSE),IF(AND(D34="1/2 Congé + 1/2 synd.",((G34-F34)+(I34-H34)+(K34-J34)=0)),AC34,0))</f>
        <v>0</v>
      </c>
      <c r="AE34" s="43">
        <f>IF(AND(D34="Jour de pont",((G34-F34)+(I34-H34)+(K34-J34)=0)),VLOOKUP(D34,Systeemgegevens!$J:$K,2,FALSE),0)</f>
        <v>0.31666666666666665</v>
      </c>
      <c r="AF34" s="43">
        <f>IF(AND(D34="Jour libre 4/5",AND((G34-F34)+(I34-H34)+(K34-J34)=0)),VLOOKUP(D34,Systeemgegevens!$J:$K,2,FALSE),0)</f>
        <v>0</v>
      </c>
      <c r="AG34" s="118">
        <f>IF(AND(D34&lt;&gt;"",SUM(AB34:AF34)=0,D34&lt;&gt;$AB$4,D34&lt;&gt;$AC$4,D34&lt;&gt;$AE$4,D34&lt;&gt;$AF$4),VLOOKUP(D34,Systeemgegevens!$J:$K,2,FALSE),0)</f>
        <v>0</v>
      </c>
      <c r="AH34" s="119">
        <f t="shared" si="6"/>
        <v>0</v>
      </c>
      <c r="AI34" s="101">
        <f t="shared" si="7"/>
        <v>0</v>
      </c>
      <c r="AJ34" s="118">
        <f t="shared" si="19"/>
        <v>0</v>
      </c>
      <c r="AK34" s="119">
        <f t="shared" si="8"/>
        <v>0</v>
      </c>
      <c r="AL34" s="101">
        <f t="shared" si="9"/>
        <v>0</v>
      </c>
      <c r="AM34" s="43">
        <f t="shared" si="20"/>
        <v>0</v>
      </c>
      <c r="AN34" s="118">
        <f t="shared" si="21"/>
        <v>0</v>
      </c>
      <c r="AO34" s="122">
        <f t="shared" si="10"/>
        <v>0</v>
      </c>
      <c r="AP34" s="107">
        <f t="shared" si="11"/>
        <v>0</v>
      </c>
      <c r="AQ34" s="107">
        <f t="shared" si="12"/>
        <v>0</v>
      </c>
      <c r="AR34" s="123">
        <f t="shared" si="13"/>
        <v>0</v>
      </c>
      <c r="AS34" s="124">
        <f t="shared" si="14"/>
        <v>0</v>
      </c>
      <c r="AT34" s="124">
        <f t="shared" si="15"/>
        <v>0</v>
      </c>
      <c r="AU34" s="124">
        <f t="shared" si="16"/>
        <v>0</v>
      </c>
      <c r="AV34" s="117" t="s">
        <v>6</v>
      </c>
      <c r="AW34" s="129">
        <f>IF(($R$41=AV34)*AND($R$42&lt;&gt;""),VLOOKUP($R$42,'Barèmes police'!$AF$40:$AG$66,2),0)</f>
        <v>0</v>
      </c>
      <c r="AX34" s="129"/>
      <c r="AY34" s="129"/>
      <c r="AZ34" s="154"/>
      <c r="BA34" s="154"/>
      <c r="BB34" s="154"/>
      <c r="BC34" s="154"/>
      <c r="BD34" s="154"/>
      <c r="BE34" s="154"/>
      <c r="BF34" s="154"/>
    </row>
    <row r="35" spans="1:58" ht="12.75" customHeight="1" x14ac:dyDescent="0.2">
      <c r="A35" s="34"/>
      <c r="B35" s="24" t="str">
        <f t="shared" si="0"/>
        <v>Sa</v>
      </c>
      <c r="C35" s="25">
        <f t="shared" si="22"/>
        <v>45654</v>
      </c>
      <c r="D35" s="51"/>
      <c r="E35" s="116"/>
      <c r="F35" s="52"/>
      <c r="G35" s="53"/>
      <c r="H35" s="54"/>
      <c r="I35" s="55"/>
      <c r="J35" s="54"/>
      <c r="K35" s="55"/>
      <c r="L35" s="40">
        <f t="shared" si="1"/>
        <v>0</v>
      </c>
      <c r="M35" s="41">
        <f t="shared" si="23"/>
        <v>1.5833333333333333</v>
      </c>
      <c r="N35" s="42">
        <f>IF(AND(D35&lt;&gt;"Jour libre 4/5",B35&lt;&gt;"Sa",B35&lt;&gt;"Di"),SUM(N34,Configuration!$H$41),SUM(N34))</f>
        <v>12.983333333333325</v>
      </c>
      <c r="O35" s="49" t="str">
        <f t="shared" si="24"/>
        <v>-</v>
      </c>
      <c r="P35" s="143">
        <f t="shared" si="17"/>
        <v>11.399999999999991</v>
      </c>
      <c r="Q35" s="167">
        <f t="shared" si="18"/>
        <v>0</v>
      </c>
      <c r="R35" s="168">
        <f t="shared" si="18"/>
        <v>0</v>
      </c>
      <c r="S35" s="168">
        <f t="shared" si="18"/>
        <v>0</v>
      </c>
      <c r="T35" s="169">
        <f t="shared" si="18"/>
        <v>0</v>
      </c>
      <c r="U35" s="97">
        <f t="shared" si="2"/>
        <v>0</v>
      </c>
      <c r="V35" s="97">
        <f t="shared" si="3"/>
        <v>0</v>
      </c>
      <c r="W35" s="97">
        <f t="shared" si="4"/>
        <v>0</v>
      </c>
      <c r="X35" s="97">
        <f t="shared" si="5"/>
        <v>0</v>
      </c>
      <c r="Y35" s="209"/>
      <c r="Z35" s="210"/>
      <c r="AA35" s="210"/>
      <c r="AB35" s="128">
        <f>IF(AND(D35="Jour férié semaine",((G35-F35)+(I35-H35)+(K35-J35)=0)),VLOOKUP(D35,Systeemgegevens!$J:$K,2,FALSE),0)</f>
        <v>0</v>
      </c>
      <c r="AC35" s="43">
        <f>IF(AND(NOT(ISERROR(FIND("Congé",D35))),ISERROR(FIND("1/2",D35)),ISERROR(FIND("Synd",D35)),ISERROR(FIND("synd",D35)),(G35-F35+I35-H35+K35-J35)=0),VLOOKUP(D35,Systeemgegevens!$J:$K,2,FALSE),IF(AND(NOT(ISERROR(FIND("1/2 Congé + ",D35))),(G35-F35+I35-H35+K35-J35)=0),VLOOKUP(D35,Systeemgegevens!$J:$K,2,FALSE)/2,IF(AND(NOT(ISERROR(FIND("1/2 Congé",D35))),ISERROR(FIND(" + ",D35)),ISERROR(FIND("1/2 Congé Synd.",D35))),VLOOKUP(D35,Systeemgegevens!$J:$K,2,FALSE),0)))</f>
        <v>0</v>
      </c>
      <c r="AD35" s="43">
        <f>IF(AND(OR(D35="1/2 Congé Synd.",D35="Congé Synd."),((G35-F35)+(I35-H35)+(K35-J35)=0)),VLOOKUP(D35,Systeemgegevens!$J:$K,2,FALSE),IF(AND(D35="1/2 Congé + 1/2 synd.",((G35-F35)+(I35-H35)+(K35-J35)=0)),AC35,0))</f>
        <v>0</v>
      </c>
      <c r="AE35" s="43">
        <f>IF(AND(D35="Jour de pont",((G35-F35)+(I35-H35)+(K35-J35)=0)),VLOOKUP(D35,Systeemgegevens!$J:$K,2,FALSE),0)</f>
        <v>0</v>
      </c>
      <c r="AF35" s="43">
        <f>IF(AND(D35="Jour libre 4/5",AND((G35-F35)+(I35-H35)+(K35-J35)=0)),VLOOKUP(D35,Systeemgegevens!$J:$K,2,FALSE),0)</f>
        <v>0</v>
      </c>
      <c r="AG35" s="118">
        <f>IF(AND(D35&lt;&gt;"",SUM(AB35:AF35)=0,D35&lt;&gt;$AB$4,D35&lt;&gt;$AC$4,D35&lt;&gt;$AE$4,D35&lt;&gt;$AF$4),VLOOKUP(D35,Systeemgegevens!$J:$K,2,FALSE),0)</f>
        <v>0</v>
      </c>
      <c r="AH35" s="119">
        <f t="shared" si="6"/>
        <v>0</v>
      </c>
      <c r="AI35" s="101">
        <f t="shared" si="7"/>
        <v>0</v>
      </c>
      <c r="AJ35" s="118">
        <f t="shared" si="19"/>
        <v>0</v>
      </c>
      <c r="AK35" s="119">
        <f t="shared" si="8"/>
        <v>0</v>
      </c>
      <c r="AL35" s="101">
        <f t="shared" si="9"/>
        <v>0</v>
      </c>
      <c r="AM35" s="43">
        <f t="shared" si="20"/>
        <v>0</v>
      </c>
      <c r="AN35" s="118">
        <f t="shared" si="21"/>
        <v>0</v>
      </c>
      <c r="AO35" s="122">
        <f t="shared" si="10"/>
        <v>0</v>
      </c>
      <c r="AP35" s="107">
        <f t="shared" si="11"/>
        <v>0</v>
      </c>
      <c r="AQ35" s="107">
        <f t="shared" si="12"/>
        <v>0</v>
      </c>
      <c r="AR35" s="123">
        <f t="shared" si="13"/>
        <v>0</v>
      </c>
      <c r="AS35" s="124">
        <f t="shared" si="14"/>
        <v>0</v>
      </c>
      <c r="AT35" s="124">
        <f t="shared" si="15"/>
        <v>0</v>
      </c>
      <c r="AU35" s="124">
        <f t="shared" si="16"/>
        <v>0</v>
      </c>
      <c r="AV35" s="117" t="s">
        <v>11</v>
      </c>
      <c r="AW35" s="129">
        <f>IF(($R$41=AV35)*AND($R$42&lt;&gt;""),VLOOKUP($R$42,'Barèmes police'!$K$40:$L$66,2),0)</f>
        <v>0</v>
      </c>
      <c r="AX35" s="129"/>
      <c r="AY35" s="129"/>
      <c r="AZ35" s="154"/>
      <c r="BA35" s="154"/>
      <c r="BB35" s="154"/>
      <c r="BC35" s="154"/>
      <c r="BD35" s="154"/>
      <c r="BE35" s="154"/>
      <c r="BF35" s="154"/>
    </row>
    <row r="36" spans="1:58" ht="12.75" customHeight="1" x14ac:dyDescent="0.2">
      <c r="A36" s="34"/>
      <c r="B36" s="24" t="str">
        <f t="shared" si="0"/>
        <v>Di</v>
      </c>
      <c r="C36" s="25">
        <f t="shared" si="22"/>
        <v>45655</v>
      </c>
      <c r="D36" s="51"/>
      <c r="E36" s="116"/>
      <c r="F36" s="52"/>
      <c r="G36" s="53"/>
      <c r="H36" s="54"/>
      <c r="I36" s="55"/>
      <c r="J36" s="54"/>
      <c r="K36" s="55"/>
      <c r="L36" s="40">
        <f t="shared" si="1"/>
        <v>0</v>
      </c>
      <c r="M36" s="41">
        <f t="shared" si="23"/>
        <v>1.5833333333333333</v>
      </c>
      <c r="N36" s="42">
        <f>IF(AND(D36&lt;&gt;"Jour libre 4/5",B36&lt;&gt;"Sa",B36&lt;&gt;"Di"),SUM(N35,Configuration!$H$41),SUM(N35))</f>
        <v>12.983333333333325</v>
      </c>
      <c r="O36" s="49" t="str">
        <f t="shared" si="24"/>
        <v>-</v>
      </c>
      <c r="P36" s="143">
        <f t="shared" si="17"/>
        <v>11.399999999999991</v>
      </c>
      <c r="Q36" s="167">
        <f t="shared" si="18"/>
        <v>0</v>
      </c>
      <c r="R36" s="168">
        <f t="shared" si="18"/>
        <v>0</v>
      </c>
      <c r="S36" s="168">
        <f t="shared" si="18"/>
        <v>0</v>
      </c>
      <c r="T36" s="169">
        <f t="shared" si="18"/>
        <v>0</v>
      </c>
      <c r="U36" s="97">
        <f t="shared" si="2"/>
        <v>0</v>
      </c>
      <c r="V36" s="97">
        <f t="shared" si="3"/>
        <v>0</v>
      </c>
      <c r="W36" s="97">
        <f t="shared" si="4"/>
        <v>0</v>
      </c>
      <c r="X36" s="97">
        <f t="shared" si="5"/>
        <v>0</v>
      </c>
      <c r="Y36" s="209"/>
      <c r="Z36" s="210"/>
      <c r="AA36" s="210"/>
      <c r="AB36" s="128">
        <f>IF(AND(D36="Jour férié semaine",((G36-F36)+(I36-H36)+(K36-J36)=0)),VLOOKUP(D36,Systeemgegevens!$J:$K,2,FALSE),0)</f>
        <v>0</v>
      </c>
      <c r="AC36" s="43">
        <f>IF(AND(NOT(ISERROR(FIND("Congé",D36))),ISERROR(FIND("1/2",D36)),ISERROR(FIND("Synd",D36)),ISERROR(FIND("synd",D36)),(G36-F36+I36-H36+K36-J36)=0),VLOOKUP(D36,Systeemgegevens!$J:$K,2,FALSE),IF(AND(NOT(ISERROR(FIND("1/2 Congé + ",D36))),(G36-F36+I36-H36+K36-J36)=0),VLOOKUP(D36,Systeemgegevens!$J:$K,2,FALSE)/2,IF(AND(NOT(ISERROR(FIND("1/2 Congé",D36))),ISERROR(FIND(" + ",D36)),ISERROR(FIND("1/2 Congé Synd.",D36))),VLOOKUP(D36,Systeemgegevens!$J:$K,2,FALSE),0)))</f>
        <v>0</v>
      </c>
      <c r="AD36" s="43">
        <f>IF(AND(OR(D36="1/2 Congé Synd.",D36="Congé Synd."),((G36-F36)+(I36-H36)+(K36-J36)=0)),VLOOKUP(D36,Systeemgegevens!$J:$K,2,FALSE),IF(AND(D36="1/2 Congé + 1/2 synd.",((G36-F36)+(I36-H36)+(K36-J36)=0)),AC36,0))</f>
        <v>0</v>
      </c>
      <c r="AE36" s="43">
        <f>IF(AND(D36="Jour de pont",((G36-F36)+(I36-H36)+(K36-J36)=0)),VLOOKUP(D36,Systeemgegevens!$J:$K,2,FALSE),0)</f>
        <v>0</v>
      </c>
      <c r="AF36" s="43">
        <f>IF(AND(D36="Jour libre 4/5",AND((G36-F36)+(I36-H36)+(K36-J36)=0)),VLOOKUP(D36,Systeemgegevens!$J:$K,2,FALSE),0)</f>
        <v>0</v>
      </c>
      <c r="AG36" s="118">
        <f>IF(AND(D36&lt;&gt;"",SUM(AB36:AF36)=0,D36&lt;&gt;$AB$4,D36&lt;&gt;$AC$4,D36&lt;&gt;$AE$4,D36&lt;&gt;$AF$4),VLOOKUP(D36,Systeemgegevens!$J:$K,2,FALSE),0)</f>
        <v>0</v>
      </c>
      <c r="AH36" s="119">
        <f t="shared" si="6"/>
        <v>0</v>
      </c>
      <c r="AI36" s="101">
        <f t="shared" si="7"/>
        <v>0</v>
      </c>
      <c r="AJ36" s="118">
        <f t="shared" si="19"/>
        <v>0</v>
      </c>
      <c r="AK36" s="119">
        <f t="shared" si="8"/>
        <v>0</v>
      </c>
      <c r="AL36" s="101">
        <f t="shared" si="9"/>
        <v>0</v>
      </c>
      <c r="AM36" s="43">
        <f t="shared" si="20"/>
        <v>0</v>
      </c>
      <c r="AN36" s="118">
        <f t="shared" si="21"/>
        <v>0</v>
      </c>
      <c r="AO36" s="122">
        <f t="shared" si="10"/>
        <v>0</v>
      </c>
      <c r="AP36" s="107">
        <f t="shared" si="11"/>
        <v>0</v>
      </c>
      <c r="AQ36" s="107">
        <f t="shared" si="12"/>
        <v>0</v>
      </c>
      <c r="AR36" s="123">
        <f t="shared" si="13"/>
        <v>0</v>
      </c>
      <c r="AS36" s="124">
        <f t="shared" si="14"/>
        <v>0</v>
      </c>
      <c r="AT36" s="124">
        <f t="shared" si="15"/>
        <v>0</v>
      </c>
      <c r="AU36" s="124">
        <f t="shared" si="16"/>
        <v>0</v>
      </c>
      <c r="AV36" s="117" t="s">
        <v>2</v>
      </c>
      <c r="AW36" s="129">
        <f>IF(($R$41=AV36)*AND($R$42&lt;&gt;""),VLOOKUP($R$42,'Barèmes police'!$AR$40:$AS$66,2),0)</f>
        <v>0</v>
      </c>
      <c r="AX36" s="129"/>
      <c r="AY36" s="129"/>
      <c r="AZ36" s="154"/>
      <c r="BA36" s="154"/>
      <c r="BB36" s="154"/>
      <c r="BC36" s="154"/>
      <c r="BD36" s="154"/>
      <c r="BE36" s="154"/>
      <c r="BF36" s="154"/>
    </row>
    <row r="37" spans="1:58" ht="12.75" customHeight="1" x14ac:dyDescent="0.2">
      <c r="A37" s="34"/>
      <c r="B37" s="24" t="str">
        <f t="shared" si="0"/>
        <v>Lu</v>
      </c>
      <c r="C37" s="25">
        <f t="shared" si="22"/>
        <v>45656</v>
      </c>
      <c r="D37" s="51"/>
      <c r="E37" s="116"/>
      <c r="F37" s="52"/>
      <c r="G37" s="53"/>
      <c r="H37" s="54"/>
      <c r="I37" s="55"/>
      <c r="J37" s="54"/>
      <c r="K37" s="55"/>
      <c r="L37" s="40">
        <f t="shared" si="1"/>
        <v>0</v>
      </c>
      <c r="M37" s="41">
        <f t="shared" si="23"/>
        <v>1.5833333333333333</v>
      </c>
      <c r="N37" s="42">
        <f>IF(AND(D37&lt;&gt;"Jour libre 4/5",B37&lt;&gt;"Sa",B37&lt;&gt;"Di"),SUM(N36,Configuration!$H$41),SUM(N36))</f>
        <v>13.299999999999992</v>
      </c>
      <c r="O37" s="49" t="str">
        <f t="shared" si="24"/>
        <v>-</v>
      </c>
      <c r="P37" s="143">
        <f t="shared" si="17"/>
        <v>11.716666666666658</v>
      </c>
      <c r="Q37" s="167">
        <f t="shared" si="18"/>
        <v>0</v>
      </c>
      <c r="R37" s="168">
        <f t="shared" si="18"/>
        <v>0</v>
      </c>
      <c r="S37" s="168">
        <f t="shared" si="18"/>
        <v>0</v>
      </c>
      <c r="T37" s="169">
        <f t="shared" si="18"/>
        <v>0</v>
      </c>
      <c r="U37" s="97">
        <f t="shared" si="2"/>
        <v>0</v>
      </c>
      <c r="V37" s="97">
        <f t="shared" si="3"/>
        <v>0</v>
      </c>
      <c r="W37" s="97">
        <f t="shared" si="4"/>
        <v>0</v>
      </c>
      <c r="X37" s="97">
        <f t="shared" si="5"/>
        <v>0</v>
      </c>
      <c r="Y37" s="209"/>
      <c r="Z37" s="210"/>
      <c r="AA37" s="210"/>
      <c r="AB37" s="128">
        <f>IF(AND(D37="Jour férié semaine",((G37-F37)+(I37-H37)+(K37-J37)=0)),VLOOKUP(D37,Systeemgegevens!$J:$K,2,FALSE),0)</f>
        <v>0</v>
      </c>
      <c r="AC37" s="43">
        <f>IF(AND(NOT(ISERROR(FIND("Congé",D37))),ISERROR(FIND("1/2",D37)),ISERROR(FIND("Synd",D37)),ISERROR(FIND("synd",D37)),(G37-F37+I37-H37+K37-J37)=0),VLOOKUP(D37,Systeemgegevens!$J:$K,2,FALSE),IF(AND(NOT(ISERROR(FIND("1/2 Congé + ",D37))),(G37-F37+I37-H37+K37-J37)=0),VLOOKUP(D37,Systeemgegevens!$J:$K,2,FALSE)/2,IF(AND(NOT(ISERROR(FIND("1/2 Congé",D37))),ISERROR(FIND(" + ",D37)),ISERROR(FIND("1/2 Congé Synd.",D37))),VLOOKUP(D37,Systeemgegevens!$J:$K,2,FALSE),0)))</f>
        <v>0</v>
      </c>
      <c r="AD37" s="43">
        <f>IF(AND(OR(D37="1/2 Congé Synd.",D37="Congé Synd."),((G37-F37)+(I37-H37)+(K37-J37)=0)),VLOOKUP(D37,Systeemgegevens!$J:$K,2,FALSE),IF(AND(D37="1/2 Congé + 1/2 synd.",((G37-F37)+(I37-H37)+(K37-J37)=0)),AC37,0))</f>
        <v>0</v>
      </c>
      <c r="AE37" s="43">
        <f>IF(AND(D37="Jour de pont",((G37-F37)+(I37-H37)+(K37-J37)=0)),VLOOKUP(D37,Systeemgegevens!$J:$K,2,FALSE),0)</f>
        <v>0</v>
      </c>
      <c r="AF37" s="43">
        <f>IF(AND(D37="Jour libre 4/5",AND((G37-F37)+(I37-H37)+(K37-J37)=0)),VLOOKUP(D37,Systeemgegevens!$J:$K,2,FALSE),0)</f>
        <v>0</v>
      </c>
      <c r="AG37" s="118">
        <f>IF(AND(D37&lt;&gt;"",SUM(AB37:AF37)=0,D37&lt;&gt;$AB$4,D37&lt;&gt;$AC$4,D37&lt;&gt;$AE$4,D37&lt;&gt;$AF$4),VLOOKUP(D37,Systeemgegevens!$J:$K,2,FALSE),0)</f>
        <v>0</v>
      </c>
      <c r="AH37" s="119">
        <f t="shared" si="6"/>
        <v>0</v>
      </c>
      <c r="AI37" s="101">
        <f t="shared" si="7"/>
        <v>0</v>
      </c>
      <c r="AJ37" s="118">
        <f t="shared" si="19"/>
        <v>0</v>
      </c>
      <c r="AK37" s="119">
        <f t="shared" si="8"/>
        <v>0</v>
      </c>
      <c r="AL37" s="101">
        <f t="shared" si="9"/>
        <v>0</v>
      </c>
      <c r="AM37" s="43">
        <f t="shared" si="20"/>
        <v>0</v>
      </c>
      <c r="AN37" s="118">
        <f t="shared" si="21"/>
        <v>0</v>
      </c>
      <c r="AO37" s="122">
        <f t="shared" si="10"/>
        <v>0</v>
      </c>
      <c r="AP37" s="107">
        <f t="shared" si="11"/>
        <v>0</v>
      </c>
      <c r="AQ37" s="107">
        <f t="shared" si="12"/>
        <v>0</v>
      </c>
      <c r="AR37" s="123">
        <f t="shared" si="13"/>
        <v>0</v>
      </c>
      <c r="AS37" s="124">
        <f t="shared" si="14"/>
        <v>0</v>
      </c>
      <c r="AT37" s="124">
        <f t="shared" si="15"/>
        <v>0</v>
      </c>
      <c r="AU37" s="124">
        <f t="shared" si="16"/>
        <v>0</v>
      </c>
      <c r="AV37" s="117" t="s">
        <v>269</v>
      </c>
      <c r="AW37" s="129">
        <f>IF(($R$41=AV37)*AND($R$42&lt;&gt;""),VLOOKUP($R$42,'Barèmes police'!$AU$40:$AV$66,2),0)</f>
        <v>0</v>
      </c>
      <c r="AX37" s="129"/>
      <c r="AY37" s="129"/>
      <c r="AZ37" s="154"/>
      <c r="BA37" s="154"/>
      <c r="BB37" s="154"/>
      <c r="BC37" s="154"/>
      <c r="BD37" s="154"/>
      <c r="BE37" s="154"/>
      <c r="BF37" s="154"/>
    </row>
    <row r="38" spans="1:58" ht="12.75" customHeight="1" x14ac:dyDescent="0.2">
      <c r="A38" s="34"/>
      <c r="B38" s="36" t="str">
        <f t="shared" si="0"/>
        <v>Ma</v>
      </c>
      <c r="C38" s="25">
        <f t="shared" si="22"/>
        <v>45657</v>
      </c>
      <c r="D38" s="56"/>
      <c r="E38" s="56"/>
      <c r="F38" s="149"/>
      <c r="G38" s="150"/>
      <c r="H38" s="57"/>
      <c r="I38" s="58"/>
      <c r="J38" s="57"/>
      <c r="K38" s="58"/>
      <c r="L38" s="44">
        <f t="shared" si="1"/>
        <v>0</v>
      </c>
      <c r="M38" s="46">
        <f>M37+L38</f>
        <v>1.5833333333333333</v>
      </c>
      <c r="N38" s="47">
        <f>IF(AND(D38&lt;&gt;"Jour libre 4/5",B38&lt;&gt;"Sa",B38&lt;&gt;"Di"),SUM(N37,Configuration!$H$41),SUM(N37))</f>
        <v>13.616666666666658</v>
      </c>
      <c r="O38" s="50" t="str">
        <f t="shared" si="24"/>
        <v>-</v>
      </c>
      <c r="P38" s="142">
        <f t="shared" si="17"/>
        <v>12.033333333333324</v>
      </c>
      <c r="Q38" s="170">
        <f t="shared" si="18"/>
        <v>0</v>
      </c>
      <c r="R38" s="171">
        <f t="shared" si="18"/>
        <v>0</v>
      </c>
      <c r="S38" s="171">
        <f t="shared" si="18"/>
        <v>0</v>
      </c>
      <c r="T38" s="172">
        <f t="shared" si="18"/>
        <v>0</v>
      </c>
      <c r="U38" s="98">
        <f t="shared" si="2"/>
        <v>0</v>
      </c>
      <c r="V38" s="98">
        <f t="shared" si="3"/>
        <v>0</v>
      </c>
      <c r="W38" s="98">
        <f t="shared" si="4"/>
        <v>0</v>
      </c>
      <c r="X38" s="98">
        <f t="shared" si="5"/>
        <v>0</v>
      </c>
      <c r="Y38" s="211"/>
      <c r="Z38" s="212"/>
      <c r="AA38" s="212"/>
      <c r="AB38" s="128">
        <f>IF(AND(D38="Jour férié semaine",((G38-F38)+(I38-H38)+(K38-J38)=0)),VLOOKUP(D38,Systeemgegevens!$J:$K,2,FALSE),0)</f>
        <v>0</v>
      </c>
      <c r="AC38" s="43">
        <f>IF(AND(NOT(ISERROR(FIND("Congé",D38))),ISERROR(FIND("1/2",D38)),ISERROR(FIND("Synd",D38)),ISERROR(FIND("synd",D38)),(G38-F38+I38-H38+K38-J38)=0),VLOOKUP(D38,Systeemgegevens!$J:$K,2,FALSE),IF(AND(NOT(ISERROR(FIND("1/2 Congé + ",D38))),(G38-F38+I38-H38+K38-J38)=0),VLOOKUP(D38,Systeemgegevens!$J:$K,2,FALSE)/2,IF(AND(NOT(ISERROR(FIND("1/2 Congé",D38))),ISERROR(FIND(" + ",D38)),ISERROR(FIND("1/2 Congé Synd.",D38))),VLOOKUP(D38,Systeemgegevens!$J:$K,2,FALSE),0)))</f>
        <v>0</v>
      </c>
      <c r="AD38" s="43">
        <f>IF(AND(OR(D38="1/2 Congé Synd.",D38="Congé Synd."),((G38-F38)+(I38-H38)+(K38-J38)=0)),VLOOKUP(D38,Systeemgegevens!$J:$K,2,FALSE),IF(AND(D38="1/2 Congé + 1/2 synd.",((G38-F38)+(I38-H38)+(K38-J38)=0)),AC38,0))</f>
        <v>0</v>
      </c>
      <c r="AE38" s="43">
        <f>IF(AND(D38="Jour de pont",((G38-F38)+(I38-H38)+(K38-J38)=0)),VLOOKUP(D38,Systeemgegevens!$J:$K,2,FALSE),0)</f>
        <v>0</v>
      </c>
      <c r="AF38" s="43">
        <f>IF(AND(D38="Jour libre 4/5",AND((G38-F38)+(I38-H38)+(K38-J38)=0)),VLOOKUP(D38,Systeemgegevens!$J:$K,2,FALSE),0)</f>
        <v>0</v>
      </c>
      <c r="AG38" s="118">
        <f>IF(AND(D38&lt;&gt;"",SUM(AB38:AF38)=0,D38&lt;&gt;$AB$4,D38&lt;&gt;$AC$4,D38&lt;&gt;$AE$4,D38&lt;&gt;$AF$4),VLOOKUP(D38,Systeemgegevens!$J:$K,2,FALSE),0)</f>
        <v>0</v>
      </c>
      <c r="AH38" s="119">
        <f t="shared" si="6"/>
        <v>0</v>
      </c>
      <c r="AI38" s="101">
        <f t="shared" si="7"/>
        <v>0</v>
      </c>
      <c r="AJ38" s="118">
        <f t="shared" si="19"/>
        <v>0</v>
      </c>
      <c r="AK38" s="119">
        <f t="shared" si="8"/>
        <v>0</v>
      </c>
      <c r="AL38" s="101">
        <f t="shared" si="9"/>
        <v>0</v>
      </c>
      <c r="AM38" s="43">
        <f t="shared" si="20"/>
        <v>0</v>
      </c>
      <c r="AN38" s="118">
        <f t="shared" si="21"/>
        <v>0</v>
      </c>
      <c r="AO38" s="122">
        <f t="shared" si="10"/>
        <v>0</v>
      </c>
      <c r="AP38" s="107">
        <f t="shared" si="11"/>
        <v>0</v>
      </c>
      <c r="AQ38" s="107">
        <f t="shared" si="12"/>
        <v>0</v>
      </c>
      <c r="AR38" s="123">
        <f t="shared" si="13"/>
        <v>0</v>
      </c>
      <c r="AS38" s="124">
        <f t="shared" si="14"/>
        <v>0</v>
      </c>
      <c r="AT38" s="124">
        <f t="shared" si="15"/>
        <v>0</v>
      </c>
      <c r="AU38" s="124">
        <f t="shared" si="16"/>
        <v>0</v>
      </c>
      <c r="AX38" s="129"/>
      <c r="AY38" s="129"/>
      <c r="AZ38" s="154"/>
      <c r="BA38" s="154"/>
      <c r="BB38" s="154"/>
      <c r="BC38" s="154"/>
      <c r="BD38" s="154"/>
      <c r="BE38" s="154"/>
      <c r="BF38" s="154"/>
    </row>
    <row r="39" spans="1:58" ht="12.75" customHeight="1" x14ac:dyDescent="0.2">
      <c r="C39" s="281"/>
      <c r="AX39" s="129"/>
      <c r="AY39" s="129"/>
    </row>
    <row r="40" spans="1:58" ht="12.75" customHeight="1" x14ac:dyDescent="0.2">
      <c r="J40" s="215"/>
      <c r="K40" s="215"/>
      <c r="L40" s="215"/>
      <c r="M40" s="216"/>
      <c r="N40" s="215"/>
      <c r="O40" s="217"/>
      <c r="P40" s="215"/>
      <c r="Q40" s="215"/>
      <c r="R40" s="215"/>
      <c r="S40" s="215"/>
      <c r="T40" s="215"/>
      <c r="U40" s="217"/>
      <c r="V40" s="217"/>
      <c r="W40" s="416" t="s">
        <v>212</v>
      </c>
      <c r="X40" s="417"/>
      <c r="Y40" s="23"/>
      <c r="Z40" s="218"/>
      <c r="AA40" s="218"/>
      <c r="AV40" s="117" t="s">
        <v>8</v>
      </c>
      <c r="AW40" s="129">
        <f>IF(($R$41=AV40)*AND($R$42&lt;&gt;""),VLOOKUP($R$42,'Barèmes police'!$Z$40:$AA$66,2),0)</f>
        <v>0</v>
      </c>
      <c r="AX40" s="129"/>
      <c r="AY40" s="129"/>
    </row>
    <row r="41" spans="1:58" ht="12.75" customHeight="1" x14ac:dyDescent="0.2">
      <c r="B41" s="475" t="s">
        <v>201</v>
      </c>
      <c r="C41" s="414"/>
      <c r="D41" s="398"/>
      <c r="E41" s="397" t="s">
        <v>202</v>
      </c>
      <c r="F41" s="398"/>
      <c r="G41" s="414" t="s">
        <v>243</v>
      </c>
      <c r="H41" s="415"/>
      <c r="J41" s="407" t="s">
        <v>242</v>
      </c>
      <c r="K41" s="408"/>
      <c r="L41" s="408"/>
      <c r="M41" s="408"/>
      <c r="N41" s="408"/>
      <c r="O41" s="219"/>
      <c r="P41" s="220"/>
      <c r="Q41" s="220"/>
      <c r="R41" s="405" t="s">
        <v>36</v>
      </c>
      <c r="S41" s="406"/>
      <c r="T41" s="402" t="s">
        <v>213</v>
      </c>
      <c r="U41" s="403"/>
      <c r="V41" s="404"/>
      <c r="W41" s="221">
        <v>1</v>
      </c>
      <c r="X41" s="222" t="s">
        <v>54</v>
      </c>
      <c r="Y41" s="23"/>
      <c r="Z41" s="383" t="s">
        <v>75</v>
      </c>
      <c r="AA41" s="384"/>
      <c r="AV41" s="117" t="s">
        <v>5</v>
      </c>
      <c r="AW41" s="129">
        <f>IF(($R$41=AV41)*AND($R$42&lt;&gt;""),VLOOKUP($R$42,'Barèmes police'!$AI$40:$AJ$66,2),0)</f>
        <v>0</v>
      </c>
      <c r="AX41" s="129"/>
      <c r="AY41" s="129"/>
    </row>
    <row r="42" spans="1:58" ht="12.75" customHeight="1" x14ac:dyDescent="0.2">
      <c r="B42" s="476" t="s">
        <v>205</v>
      </c>
      <c r="C42" s="477"/>
      <c r="D42" s="478"/>
      <c r="E42" s="412">
        <f>Nov!E45</f>
        <v>34</v>
      </c>
      <c r="F42" s="413"/>
      <c r="G42" s="399">
        <f>Nov!G45</f>
        <v>10.766666666666666</v>
      </c>
      <c r="H42" s="399"/>
      <c r="J42" s="223"/>
      <c r="K42" s="224"/>
      <c r="L42" s="224"/>
      <c r="M42" s="224"/>
      <c r="N42" s="224"/>
      <c r="O42" s="225"/>
      <c r="P42" s="226"/>
      <c r="Q42" s="226"/>
      <c r="R42" s="464">
        <v>0</v>
      </c>
      <c r="S42" s="465"/>
      <c r="T42" s="466">
        <f>SUM(AW8:AW201)</f>
        <v>14703.88</v>
      </c>
      <c r="U42" s="467"/>
      <c r="V42" s="468"/>
      <c r="W42" s="213">
        <v>13409.11</v>
      </c>
      <c r="X42" s="214">
        <v>12735.61</v>
      </c>
      <c r="Y42" s="23"/>
      <c r="Z42" s="457">
        <v>2.0398999999999998</v>
      </c>
      <c r="AA42" s="458"/>
      <c r="AV42" s="117" t="s">
        <v>10</v>
      </c>
      <c r="AW42" s="129">
        <f>IF(($R$41=AV42)*AND($R$42&lt;&gt;""),VLOOKUP($R$42,'Barèmes police'!$N$40:$O$66,2),0)</f>
        <v>0</v>
      </c>
      <c r="AX42" s="129"/>
      <c r="AY42" s="129"/>
    </row>
    <row r="43" spans="1:58" ht="12.75" customHeight="1" x14ac:dyDescent="0.2">
      <c r="B43" s="476" t="s">
        <v>203</v>
      </c>
      <c r="C43" s="477"/>
      <c r="D43" s="478"/>
      <c r="E43" s="459">
        <v>0</v>
      </c>
      <c r="F43" s="460"/>
      <c r="G43" s="463">
        <f>E43*Configuration!$H$41</f>
        <v>0</v>
      </c>
      <c r="H43" s="463"/>
      <c r="J43" s="227" t="s">
        <v>215</v>
      </c>
      <c r="K43" s="228"/>
      <c r="L43" s="229"/>
      <c r="M43" s="230">
        <f>IF(MINUTE(SUM(U8:U39))&gt;=30,SUM(U8:U39)+(TIME(1,0,0))-TIME(0,MINUTE(SUM(U8:U39)),0),SUM(U8:U39)-TIME(0,MINUTE(SUM(U8:U39)),0))</f>
        <v>0</v>
      </c>
      <c r="N43" s="219" t="s">
        <v>190</v>
      </c>
      <c r="O43" s="231"/>
      <c r="P43" s="220"/>
      <c r="Q43" s="220"/>
      <c r="R43" s="232"/>
      <c r="S43" s="354">
        <f>IF($R$2="Oui",(M43*AK44*24),0)</f>
        <v>0</v>
      </c>
      <c r="T43" s="355"/>
      <c r="U43" s="355"/>
      <c r="V43" s="233" t="s">
        <v>55</v>
      </c>
      <c r="W43" s="234">
        <f>IF($R$3="Oui",M43*AK49*24,0)</f>
        <v>0</v>
      </c>
      <c r="X43" s="235" t="s">
        <v>55</v>
      </c>
      <c r="Y43" s="23"/>
      <c r="Z43" s="218"/>
      <c r="AA43" s="218"/>
      <c r="AB43" s="352" t="s">
        <v>66</v>
      </c>
      <c r="AC43" s="353"/>
      <c r="AD43" s="353"/>
      <c r="AE43" s="130">
        <f>T42*Z42</f>
        <v>29994.444811999994</v>
      </c>
      <c r="AG43" s="352" t="s">
        <v>64</v>
      </c>
      <c r="AH43" s="353"/>
      <c r="AI43" s="353"/>
      <c r="AJ43" s="353"/>
      <c r="AK43" s="130">
        <f>T42*Z42/1850</f>
        <v>16.213213411891889</v>
      </c>
      <c r="AM43" s="389" t="s">
        <v>163</v>
      </c>
      <c r="AN43" s="390"/>
      <c r="AO43" s="390"/>
      <c r="AP43" s="390"/>
      <c r="AQ43" s="390"/>
      <c r="AR43" s="127"/>
      <c r="AV43" s="18" t="s">
        <v>4</v>
      </c>
      <c r="AW43" s="129">
        <f>IF(($R$41=AV43)*AND($R$42&lt;&gt;""),VLOOKUP($R$42,'Barèmes police'!$AL$40:$AM$66,2),0)</f>
        <v>0</v>
      </c>
      <c r="AX43" s="129"/>
      <c r="AY43" s="129"/>
    </row>
    <row r="44" spans="1:58" ht="12.75" customHeight="1" x14ac:dyDescent="0.2">
      <c r="B44" s="476" t="s">
        <v>260</v>
      </c>
      <c r="C44" s="477"/>
      <c r="D44" s="478"/>
      <c r="E44" s="412">
        <f>SUM(AU8:AU39)</f>
        <v>0</v>
      </c>
      <c r="F44" s="413"/>
      <c r="G44" s="399">
        <f>SUM(AU8:AU39)*Configuration!H41</f>
        <v>0</v>
      </c>
      <c r="H44" s="399"/>
      <c r="J44" s="236" t="s">
        <v>217</v>
      </c>
      <c r="K44" s="237"/>
      <c r="L44" s="238"/>
      <c r="M44" s="239">
        <f>IF(MINUTE(SUM(V8:V39))&gt;=30,SUM(V8:V39)+(TIME(1,0,0))-TIME(0,MINUTE(SUM(V8:V39)),0),SUM(V8:V39)-TIME(0,MINUTE(SUM(V8:V39)),0))</f>
        <v>0</v>
      </c>
      <c r="N44" s="225" t="s">
        <v>190</v>
      </c>
      <c r="O44" s="240"/>
      <c r="P44" s="226"/>
      <c r="Q44" s="226"/>
      <c r="R44" s="232"/>
      <c r="S44" s="354">
        <f>IF($R$2="Oui",M44*AK45*24,0)</f>
        <v>0</v>
      </c>
      <c r="T44" s="355"/>
      <c r="U44" s="355"/>
      <c r="V44" s="233" t="s">
        <v>55</v>
      </c>
      <c r="W44" s="23"/>
      <c r="X44" s="241"/>
      <c r="Y44" s="23"/>
      <c r="Z44" s="377" t="s">
        <v>211</v>
      </c>
      <c r="AA44" s="378"/>
      <c r="AB44" s="358" t="s">
        <v>67</v>
      </c>
      <c r="AC44" s="359"/>
      <c r="AD44" s="359"/>
      <c r="AE44" s="121">
        <f>AE43*0.075</f>
        <v>2249.5833608999997</v>
      </c>
      <c r="AG44" s="358" t="s">
        <v>65</v>
      </c>
      <c r="AH44" s="359"/>
      <c r="AI44" s="359"/>
      <c r="AJ44" s="359"/>
      <c r="AK44" s="136">
        <f>(AK43*0.9645)*AE49</f>
        <v>9.3231635529859105</v>
      </c>
      <c r="AM44" s="391" t="str">
        <f>IF(Configuration!$H$30="Dagen","Aantal dagen beschikbaar:","Aantal uren beschikbaar:")</f>
        <v>Aantal uren beschikbaar:</v>
      </c>
      <c r="AN44" s="392"/>
      <c r="AO44" s="392"/>
      <c r="AP44" s="392"/>
      <c r="AQ44" s="393">
        <f>IF(Configuration!H30="Dagen",Configuration!H45,Configuration!H45)</f>
        <v>99999</v>
      </c>
      <c r="AR44" s="394"/>
      <c r="AV44" s="18" t="s">
        <v>9</v>
      </c>
      <c r="AW44" s="129">
        <f>IF(($R$41=AV44)*AND($R$42&lt;&gt;""),VLOOKUP($R$42,'Barèmes police'!$Q$40:$R$66,2),0)</f>
        <v>0</v>
      </c>
      <c r="AX44" s="129"/>
      <c r="AY44" s="129"/>
    </row>
    <row r="45" spans="1:58" ht="12.75" customHeight="1" x14ac:dyDescent="0.2">
      <c r="B45" s="476" t="s">
        <v>204</v>
      </c>
      <c r="C45" s="477"/>
      <c r="D45" s="478"/>
      <c r="E45" s="412">
        <f>SUM(AC8:AC39)/Configuration!H41</f>
        <v>0</v>
      </c>
      <c r="F45" s="413"/>
      <c r="G45" s="399">
        <f>SUM(AC8:AC39)</f>
        <v>0</v>
      </c>
      <c r="H45" s="399"/>
      <c r="J45" s="236" t="s">
        <v>216</v>
      </c>
      <c r="K45" s="237"/>
      <c r="L45" s="238"/>
      <c r="M45" s="239">
        <f>IF(MINUTE(SUM(W8:W39))&gt;=30,SUM(W8:W39)+(TIME(1,0,0))-TIME(0,MINUTE(SUM(W8:W39)),0),SUM(W8:W39)-TIME(0,MINUTE(SUM(W8:W39)),0))</f>
        <v>0</v>
      </c>
      <c r="N45" s="237" t="s">
        <v>190</v>
      </c>
      <c r="O45" s="225"/>
      <c r="P45" s="225"/>
      <c r="Q45" s="225"/>
      <c r="R45" s="233"/>
      <c r="S45" s="354">
        <f>IF($R$2="Oui",M45*AK46*24,0)</f>
        <v>0</v>
      </c>
      <c r="T45" s="355"/>
      <c r="U45" s="355"/>
      <c r="V45" s="233" t="s">
        <v>55</v>
      </c>
      <c r="W45" s="234"/>
      <c r="X45" s="235"/>
      <c r="Y45" s="23"/>
      <c r="Z45" s="379"/>
      <c r="AA45" s="380"/>
      <c r="AB45" s="358" t="s">
        <v>68</v>
      </c>
      <c r="AC45" s="359"/>
      <c r="AD45" s="359"/>
      <c r="AE45" s="121">
        <f>AE43*0.0355</f>
        <v>1064.8027908259996</v>
      </c>
      <c r="AG45" s="358" t="s">
        <v>77</v>
      </c>
      <c r="AH45" s="359"/>
      <c r="AI45" s="359"/>
      <c r="AJ45" s="359"/>
      <c r="AK45" s="136">
        <f>AK44*0.2</f>
        <v>1.8646327105971823</v>
      </c>
      <c r="AM45" s="391" t="str">
        <f>IF(Configuration!$H$30="Dagen","Opgenomen Congé Synd.dagen:","Opgenomen Congé Synd.uren:")</f>
        <v>Opgenomen Congé Synd.uren:</v>
      </c>
      <c r="AN45" s="392"/>
      <c r="AO45" s="392"/>
      <c r="AP45" s="392"/>
      <c r="AQ45" s="469">
        <f>IF(Configuration!$H$30="Dagen",SUM(AD8:AD39)/Configuration!H41,SUM(AD8:AD39))</f>
        <v>0</v>
      </c>
      <c r="AR45" s="470"/>
      <c r="AV45" s="18" t="s">
        <v>3</v>
      </c>
      <c r="AW45" s="129">
        <f>IF(($R$41=AV45)*AND($R$42&lt;&gt;""),VLOOKUP($R$42,'Barèmes police'!$AO$40:$AP$66,2),0)</f>
        <v>0</v>
      </c>
    </row>
    <row r="46" spans="1:58" ht="12.75" customHeight="1" x14ac:dyDescent="0.2">
      <c r="B46" s="409" t="s">
        <v>254</v>
      </c>
      <c r="C46" s="410"/>
      <c r="D46" s="411"/>
      <c r="E46" s="461">
        <f>E42+E43+E44-E45</f>
        <v>34</v>
      </c>
      <c r="F46" s="462"/>
      <c r="G46" s="400">
        <f>G42+G43+G44-G45</f>
        <v>10.766666666666666</v>
      </c>
      <c r="H46" s="401"/>
      <c r="J46" s="236" t="s">
        <v>218</v>
      </c>
      <c r="K46" s="237"/>
      <c r="L46" s="238"/>
      <c r="M46" s="239">
        <f>IF(MINUTE(SUM(X8:X39))&gt;=30,SUM(X8:X39)+(TIME(1,0,0))-TIME(0,MINUTE(SUM(X8:X39)),0),SUM(X8:X39)-TIME(0,MINUTE(SUM(X8:X39)),0))</f>
        <v>0</v>
      </c>
      <c r="N46" s="237" t="s">
        <v>190</v>
      </c>
      <c r="O46" s="225"/>
      <c r="P46" s="225"/>
      <c r="Q46" s="225"/>
      <c r="R46" s="233"/>
      <c r="S46" s="242"/>
      <c r="T46" s="242"/>
      <c r="U46" s="242"/>
      <c r="V46" s="243"/>
      <c r="W46" s="234">
        <f>IF($R$3="Oui",M46*AK52*24,0)</f>
        <v>0</v>
      </c>
      <c r="X46" s="235" t="s">
        <v>55</v>
      </c>
      <c r="Y46" s="23"/>
      <c r="Z46" s="381">
        <f>AE48</f>
        <v>0.40380000000000005</v>
      </c>
      <c r="AA46" s="382"/>
      <c r="AB46" s="348" t="s">
        <v>69</v>
      </c>
      <c r="AC46" s="349"/>
      <c r="AD46" s="349"/>
      <c r="AE46" s="132">
        <f>AE43-AE44-AE45</f>
        <v>26680.058660273993</v>
      </c>
      <c r="AG46" s="348" t="s">
        <v>78</v>
      </c>
      <c r="AH46" s="349"/>
      <c r="AI46" s="349"/>
      <c r="AJ46" s="349"/>
      <c r="AK46" s="132">
        <f>AK44*0.35</f>
        <v>3.2631072435450683</v>
      </c>
      <c r="AM46" s="375" t="str">
        <f>IF(Configuration!$H$30="Dagen","Resterend aantal dagen:","Resterend aantal uren:")</f>
        <v>Resterend aantal uren:</v>
      </c>
      <c r="AN46" s="376"/>
      <c r="AO46" s="376"/>
      <c r="AP46" s="376"/>
      <c r="AQ46" s="366">
        <f>AQ44-AQ45</f>
        <v>99999</v>
      </c>
      <c r="AR46" s="367"/>
      <c r="AV46" s="18" t="s">
        <v>1</v>
      </c>
      <c r="AW46" s="129">
        <f>IF(($R$41=AV46)*AND($R$42&lt;&gt;""),VLOOKUP($R$42,'Barèmes police'!$T$40:$U$69,2),0)</f>
        <v>0</v>
      </c>
    </row>
    <row r="47" spans="1:58" ht="12.75" customHeight="1" x14ac:dyDescent="0.2">
      <c r="B47" s="23"/>
      <c r="C47" s="23"/>
      <c r="D47" s="23"/>
      <c r="E47" s="23"/>
      <c r="F47" s="23"/>
      <c r="G47" s="23"/>
      <c r="J47" s="236" t="s">
        <v>219</v>
      </c>
      <c r="K47" s="237"/>
      <c r="L47" s="238"/>
      <c r="M47" s="244">
        <f>COUNTIF($Q$8:$Q$38,"1")</f>
        <v>0</v>
      </c>
      <c r="N47" s="225"/>
      <c r="O47" s="362" t="s">
        <v>223</v>
      </c>
      <c r="P47" s="363"/>
      <c r="Q47" s="363"/>
      <c r="R47" s="245">
        <f>COUNTIF($Q$8:$Q$38,"2")</f>
        <v>0</v>
      </c>
      <c r="S47" s="354">
        <f>IF($R$2="Oui",(M47*AE52*Z42+(R47*Z42*2.48)),0)</f>
        <v>0</v>
      </c>
      <c r="T47" s="355"/>
      <c r="U47" s="355"/>
      <c r="V47" s="233" t="s">
        <v>55</v>
      </c>
      <c r="W47" s="234">
        <f>IF($R$3="Oui",(M47*AE52*Z42+(R47*AE52*6.2)),0)</f>
        <v>0</v>
      </c>
      <c r="X47" s="235" t="s">
        <v>55</v>
      </c>
      <c r="Y47" s="23"/>
      <c r="Z47" s="218"/>
      <c r="AA47" s="218"/>
      <c r="AV47" s="18" t="s">
        <v>0</v>
      </c>
      <c r="AW47" s="129">
        <f>IF(($R$41=AV47)*AND($R$42&lt;&gt;""),VLOOKUP($R$42,'Barèmes police'!$W$40:$X$69,2),0)</f>
        <v>0</v>
      </c>
    </row>
    <row r="48" spans="1:58" ht="12.75" customHeight="1" x14ac:dyDescent="0.2">
      <c r="B48" s="368" t="s">
        <v>206</v>
      </c>
      <c r="C48" s="369"/>
      <c r="D48" s="369"/>
      <c r="E48" s="369"/>
      <c r="F48" s="370" t="s">
        <v>179</v>
      </c>
      <c r="G48" s="371"/>
      <c r="J48" s="236" t="s">
        <v>220</v>
      </c>
      <c r="K48" s="237"/>
      <c r="L48" s="238"/>
      <c r="M48" s="244">
        <f>COUNTIF($R$8:$R$38,"1")</f>
        <v>0</v>
      </c>
      <c r="N48" s="225"/>
      <c r="O48" s="362" t="s">
        <v>224</v>
      </c>
      <c r="P48" s="363"/>
      <c r="Q48" s="363"/>
      <c r="R48" s="245">
        <f>COUNTIF($R$8:$R$38,"2")</f>
        <v>0</v>
      </c>
      <c r="S48" s="354">
        <f>IF($R$2="Oui",(M48*AE53*Z42+(R48*Z42*6.2)),0)</f>
        <v>0</v>
      </c>
      <c r="T48" s="355"/>
      <c r="U48" s="355"/>
      <c r="V48" s="233" t="s">
        <v>55</v>
      </c>
      <c r="W48" s="234">
        <f>IF($R$3="Oui",(M48*AE53*Z42+(R48*AE53*6.2)),0)</f>
        <v>0</v>
      </c>
      <c r="X48" s="235" t="s">
        <v>55</v>
      </c>
      <c r="Y48" s="23"/>
      <c r="Z48" s="383" t="s">
        <v>258</v>
      </c>
      <c r="AA48" s="384"/>
      <c r="AB48" s="352" t="s">
        <v>70</v>
      </c>
      <c r="AC48" s="353"/>
      <c r="AD48" s="353"/>
      <c r="AE48" s="134">
        <f>VLOOKUP(AE46,Systeemgegevens!C3:E14,3)/100</f>
        <v>0.40380000000000005</v>
      </c>
      <c r="AG48" s="352" t="s">
        <v>72</v>
      </c>
      <c r="AH48" s="353"/>
      <c r="AI48" s="353"/>
      <c r="AJ48" s="353"/>
      <c r="AK48" s="133">
        <f>X42*1.2434/1850</f>
        <v>8.5597067427027032</v>
      </c>
      <c r="AV48" s="18" t="s">
        <v>61</v>
      </c>
      <c r="AW48" s="129">
        <f>IF(($R$41=AV48)*AND($R$42&lt;&gt;""),VLOOKUP($R$42,'Barèmes police'!$BM$4:$BN$39,2),0)</f>
        <v>0</v>
      </c>
    </row>
    <row r="49" spans="2:49" ht="12.75" customHeight="1" x14ac:dyDescent="0.2">
      <c r="B49" s="17"/>
      <c r="F49" s="17"/>
      <c r="G49" s="17"/>
      <c r="J49" s="236" t="s">
        <v>221</v>
      </c>
      <c r="K49" s="237"/>
      <c r="L49" s="238"/>
      <c r="M49" s="244">
        <f>COUNTIF($S$8:$S$38, "1")</f>
        <v>0</v>
      </c>
      <c r="N49" s="225"/>
      <c r="O49" s="362" t="s">
        <v>225</v>
      </c>
      <c r="P49" s="363"/>
      <c r="Q49" s="363"/>
      <c r="R49" s="245">
        <f>COUNTIF($S$8:$S$38, "2")</f>
        <v>0</v>
      </c>
      <c r="S49" s="354">
        <f>IF($R$2="Oui",(M49*AE54*Z42+(R49*Z42*6.2)),0)</f>
        <v>0</v>
      </c>
      <c r="T49" s="355"/>
      <c r="U49" s="355"/>
      <c r="V49" s="233" t="s">
        <v>55</v>
      </c>
      <c r="W49" s="234">
        <f>IF($R$3="Oui",(M49*AE54*Z42+(R49*AE54*6.2)),0)</f>
        <v>0</v>
      </c>
      <c r="X49" s="235" t="s">
        <v>55</v>
      </c>
      <c r="Y49" s="23"/>
      <c r="Z49" s="364">
        <v>0.23</v>
      </c>
      <c r="AA49" s="365"/>
      <c r="AB49" s="348" t="s">
        <v>71</v>
      </c>
      <c r="AC49" s="349"/>
      <c r="AD49" s="349"/>
      <c r="AE49" s="135">
        <f>1-AE48</f>
        <v>0.59619999999999995</v>
      </c>
      <c r="AG49" s="358" t="s">
        <v>73</v>
      </c>
      <c r="AH49" s="359"/>
      <c r="AI49" s="359"/>
      <c r="AJ49" s="359"/>
      <c r="AK49" s="121">
        <f>AK48*0.9645*AE49*1.45</f>
        <v>7.1370886606880939</v>
      </c>
      <c r="AV49" s="18" t="s">
        <v>263</v>
      </c>
      <c r="AW49" s="218">
        <f>IF(($R$41=AV49)*AND($R$42&lt;&gt;""),VLOOKUP($R$42,'Barèmes police'!$AX$40:$AY$70,2),0)</f>
        <v>0</v>
      </c>
    </row>
    <row r="50" spans="2:49" ht="12.75" customHeight="1" x14ac:dyDescent="0.2">
      <c r="B50" s="372" t="s">
        <v>207</v>
      </c>
      <c r="C50" s="373"/>
      <c r="D50" s="373"/>
      <c r="E50" s="373"/>
      <c r="F50" s="373"/>
      <c r="G50" s="374"/>
      <c r="J50" s="236" t="s">
        <v>222</v>
      </c>
      <c r="K50" s="237"/>
      <c r="L50" s="238"/>
      <c r="M50" s="244">
        <f>COUNTIF($T$8:$T$38,"1")</f>
        <v>0</v>
      </c>
      <c r="N50" s="225"/>
      <c r="O50" s="362" t="s">
        <v>226</v>
      </c>
      <c r="P50" s="363"/>
      <c r="Q50" s="363"/>
      <c r="R50" s="245">
        <f>COUNTIF($T$8:$T$38,"2")</f>
        <v>0</v>
      </c>
      <c r="S50" s="354">
        <f>IF($R$2="Oui",(M50*AE55*Z42+(R50*Z42*3.48)),0)</f>
        <v>0</v>
      </c>
      <c r="T50" s="355"/>
      <c r="U50" s="355"/>
      <c r="V50" s="233" t="s">
        <v>55</v>
      </c>
      <c r="W50" s="234">
        <f>IF($R$3="Oui",(M50*AE55*Z42+(R50*AE55*6.2)),0)</f>
        <v>0</v>
      </c>
      <c r="X50" s="235" t="s">
        <v>55</v>
      </c>
      <c r="Y50" s="23"/>
      <c r="Z50" s="246"/>
      <c r="AA50" s="246"/>
      <c r="AB50" s="148"/>
      <c r="AC50" s="148"/>
      <c r="AD50" s="148"/>
      <c r="AE50" s="153"/>
      <c r="AG50" s="147"/>
      <c r="AH50" s="148"/>
      <c r="AI50" s="148"/>
      <c r="AJ50" s="148"/>
      <c r="AK50" s="121"/>
      <c r="AV50" s="18" t="s">
        <v>264</v>
      </c>
      <c r="AW50" s="218">
        <f>IF(($R$41=AV50)*AND($R$42&lt;&gt;""),VLOOKUP($R$42,'Barèmes police'!$BA$40:$BB$70,2),0)</f>
        <v>0</v>
      </c>
    </row>
    <row r="51" spans="2:49" ht="12.75" customHeight="1" x14ac:dyDescent="0.2">
      <c r="B51" s="395" t="s">
        <v>208</v>
      </c>
      <c r="C51" s="396"/>
      <c r="D51" s="396"/>
      <c r="E51" s="396"/>
      <c r="F51" s="151"/>
      <c r="G51" s="152"/>
      <c r="J51" s="236" t="s">
        <v>227</v>
      </c>
      <c r="K51" s="237"/>
      <c r="L51" s="238"/>
      <c r="M51" s="239">
        <f>IF(P38-F52&gt;=1/49,IF(AND(O38="+",F48="Oui"),IF(MINUTE(P38-F52)&gt;=30,P38-F52+(TIME(1,0,0))-TIME(0,MINUTE(P38-F52),0),P38-F52-TIME(0,MINUTE(P38-F52),0)),0),0)</f>
        <v>0</v>
      </c>
      <c r="N51" s="225" t="s">
        <v>190</v>
      </c>
      <c r="O51" s="360" t="s">
        <v>253</v>
      </c>
      <c r="P51" s="360"/>
      <c r="Q51" s="360"/>
      <c r="R51" s="361"/>
      <c r="S51" s="354">
        <f>IF($R$2="Oui",M51*AK44*24,0)</f>
        <v>0</v>
      </c>
      <c r="T51" s="355"/>
      <c r="U51" s="355"/>
      <c r="V51" s="233" t="s">
        <v>55</v>
      </c>
      <c r="W51" s="234">
        <f>IF($R$3="Oui",M51*AK51*24,0)</f>
        <v>0</v>
      </c>
      <c r="X51" s="235" t="s">
        <v>55</v>
      </c>
      <c r="Y51" s="23"/>
      <c r="Z51" s="246"/>
      <c r="AA51" s="246"/>
      <c r="AG51" s="358" t="s">
        <v>74</v>
      </c>
      <c r="AH51" s="359"/>
      <c r="AI51" s="359"/>
      <c r="AJ51" s="359"/>
      <c r="AK51" s="121">
        <f>(W42*1.2434/1850)*0.9645*AE49</f>
        <v>5.1824281750374874</v>
      </c>
      <c r="AV51" s="18" t="s">
        <v>265</v>
      </c>
      <c r="AW51" s="218">
        <f>IF(($R$41=AV51)*AND($R$42&lt;&gt;""),VLOOKUP($R$42,'Barèmes police'!$BD$40:$BE$70,2),0)</f>
        <v>0</v>
      </c>
    </row>
    <row r="52" spans="2:49" ht="12.75" customHeight="1" x14ac:dyDescent="0.2">
      <c r="B52" s="385" t="s">
        <v>209</v>
      </c>
      <c r="C52" s="386"/>
      <c r="D52" s="386"/>
      <c r="E52" s="386"/>
      <c r="F52" s="356">
        <v>0</v>
      </c>
      <c r="G52" s="357"/>
      <c r="J52" s="236" t="s">
        <v>228</v>
      </c>
      <c r="K52" s="237"/>
      <c r="L52" s="238"/>
      <c r="M52" s="247">
        <f>SUM(AT8:AT39)</f>
        <v>0</v>
      </c>
      <c r="N52" s="225" t="s">
        <v>214</v>
      </c>
      <c r="O52" s="360"/>
      <c r="P52" s="360"/>
      <c r="Q52" s="360"/>
      <c r="R52" s="361"/>
      <c r="S52" s="354">
        <f>IF($R$2="Oui",M52*6.7*Z42,0)</f>
        <v>0</v>
      </c>
      <c r="T52" s="355"/>
      <c r="U52" s="355"/>
      <c r="V52" s="233" t="s">
        <v>55</v>
      </c>
      <c r="W52" s="234">
        <f>IF($R$3="Oui",M52*6.7*Z42,0)</f>
        <v>0</v>
      </c>
      <c r="X52" s="235" t="s">
        <v>55</v>
      </c>
      <c r="Y52" s="23"/>
      <c r="Z52" s="246"/>
      <c r="AA52" s="246"/>
      <c r="AB52" s="352" t="s">
        <v>79</v>
      </c>
      <c r="AC52" s="353"/>
      <c r="AD52" s="353"/>
      <c r="AE52" s="133">
        <v>1.24</v>
      </c>
      <c r="AG52" s="348" t="s">
        <v>76</v>
      </c>
      <c r="AH52" s="349"/>
      <c r="AI52" s="349"/>
      <c r="AJ52" s="349"/>
      <c r="AK52" s="131">
        <f>AK48*0.325*0.9645*AE49</f>
        <v>1.5996922860162968</v>
      </c>
      <c r="AV52" s="18" t="s">
        <v>266</v>
      </c>
      <c r="AW52" s="218">
        <f>IF(($R$41=AV52)*AND($R$42&lt;&gt;""),VLOOKUP($R$42,'Barèmes police'!$BG$40:$BH$70,2),0)</f>
        <v>0</v>
      </c>
    </row>
    <row r="53" spans="2:49" ht="12.75" customHeight="1" x14ac:dyDescent="0.2">
      <c r="B53" s="387" t="s">
        <v>210</v>
      </c>
      <c r="C53" s="388"/>
      <c r="D53" s="388"/>
      <c r="E53" s="388"/>
      <c r="F53" s="350">
        <v>0</v>
      </c>
      <c r="G53" s="351"/>
      <c r="J53" s="236" t="s">
        <v>229</v>
      </c>
      <c r="K53" s="237"/>
      <c r="L53" s="238"/>
      <c r="M53" s="244">
        <f>SUM(Y8:Y39)</f>
        <v>0</v>
      </c>
      <c r="N53" s="237" t="s">
        <v>56</v>
      </c>
      <c r="O53" s="248"/>
      <c r="P53" s="248"/>
      <c r="Q53" s="248"/>
      <c r="R53" s="249"/>
      <c r="S53" s="354">
        <f>IF($R$2="Oui",M53*Z49,0)</f>
        <v>0</v>
      </c>
      <c r="T53" s="355"/>
      <c r="U53" s="355"/>
      <c r="V53" s="233" t="s">
        <v>55</v>
      </c>
      <c r="W53" s="234">
        <f>IF($R$3="Oui",M53*Z49,0)</f>
        <v>0</v>
      </c>
      <c r="X53" s="235" t="s">
        <v>55</v>
      </c>
      <c r="Y53" s="23"/>
      <c r="Z53" s="246"/>
      <c r="AA53" s="246"/>
      <c r="AB53" s="358" t="s">
        <v>80</v>
      </c>
      <c r="AC53" s="359"/>
      <c r="AD53" s="359"/>
      <c r="AE53" s="121">
        <v>2.48</v>
      </c>
    </row>
    <row r="54" spans="2:49" ht="12.75" customHeight="1" x14ac:dyDescent="0.2">
      <c r="J54" s="236" t="s">
        <v>244</v>
      </c>
      <c r="K54" s="237"/>
      <c r="L54" s="238"/>
      <c r="M54" s="239">
        <f>IF(MINUTE(SUM(Z8:Z39))&gt;=30,SUM(Z8:Z39)+(TIME(1,0,0))-TIME(0,MINUTE(SUM(Z8:Z39)),0),SUM(Z8:Z39)-TIME(0,MINUTE(SUM(Z8:Z39)),0))</f>
        <v>0</v>
      </c>
      <c r="N54" s="237" t="s">
        <v>190</v>
      </c>
      <c r="O54" s="248"/>
      <c r="P54" s="248"/>
      <c r="Q54" s="248"/>
      <c r="R54" s="249"/>
      <c r="S54" s="354">
        <f>IF($R$2="Oui",M54*AK54*24,0)</f>
        <v>0</v>
      </c>
      <c r="T54" s="355"/>
      <c r="U54" s="355"/>
      <c r="V54" s="233" t="s">
        <v>55</v>
      </c>
      <c r="W54" s="234">
        <f>IF($R$3="Oui",M54*AK54*24,0)</f>
        <v>0</v>
      </c>
      <c r="X54" s="235" t="s">
        <v>55</v>
      </c>
      <c r="Y54" s="23"/>
      <c r="Z54" s="246"/>
      <c r="AA54" s="246"/>
      <c r="AB54" s="358" t="s">
        <v>81</v>
      </c>
      <c r="AC54" s="359"/>
      <c r="AD54" s="359"/>
      <c r="AE54" s="121">
        <v>2.48</v>
      </c>
      <c r="AG54" s="352" t="s">
        <v>83</v>
      </c>
      <c r="AH54" s="353"/>
      <c r="AI54" s="353"/>
      <c r="AJ54" s="353"/>
      <c r="AK54" s="130">
        <f>AK44/24</f>
        <v>0.38846514804107962</v>
      </c>
    </row>
    <row r="55" spans="2:49" ht="12.75" customHeight="1" x14ac:dyDescent="0.2">
      <c r="J55" s="236" t="s">
        <v>230</v>
      </c>
      <c r="K55" s="237"/>
      <c r="L55" s="238"/>
      <c r="M55" s="239">
        <f>IF(MINUTE(SUM(AA8:AA39))&gt;=30,SUM(AA8:AA39)+(TIME(1,0,0))-TIME(0,MINUTE(SUM(AA8:AA39)),0),SUM(AA8:AA39)-TIME(0,MINUTE(SUM(AA8:AA39)),0))</f>
        <v>0</v>
      </c>
      <c r="N55" s="237" t="s">
        <v>190</v>
      </c>
      <c r="O55" s="248"/>
      <c r="P55" s="248"/>
      <c r="Q55" s="248"/>
      <c r="R55" s="249"/>
      <c r="S55" s="354">
        <f>IF($R$2="Oui",M55*AK55*24,0)</f>
        <v>0</v>
      </c>
      <c r="T55" s="355"/>
      <c r="U55" s="355"/>
      <c r="V55" s="233" t="s">
        <v>55</v>
      </c>
      <c r="W55" s="234">
        <f>IF($R$3="Oui",M55*AK55*24,0)</f>
        <v>0</v>
      </c>
      <c r="X55" s="235" t="s">
        <v>55</v>
      </c>
      <c r="Y55" s="23"/>
      <c r="Z55" s="246"/>
      <c r="AA55" s="246"/>
      <c r="AB55" s="348" t="s">
        <v>82</v>
      </c>
      <c r="AC55" s="349"/>
      <c r="AD55" s="349"/>
      <c r="AE55" s="131">
        <v>1.74</v>
      </c>
      <c r="AG55" s="348" t="s">
        <v>84</v>
      </c>
      <c r="AH55" s="349"/>
      <c r="AI55" s="349"/>
      <c r="AJ55" s="349"/>
      <c r="AK55" s="132">
        <f>AK44/15</f>
        <v>0.62154423686572735</v>
      </c>
    </row>
    <row r="56" spans="2:49" ht="12.75" customHeight="1" x14ac:dyDescent="0.2">
      <c r="J56" s="223" t="s">
        <v>57</v>
      </c>
      <c r="K56" s="224"/>
      <c r="L56" s="250"/>
      <c r="M56" s="251">
        <f>SUM(AS8:AS39)</f>
        <v>0</v>
      </c>
      <c r="N56" s="225" t="s">
        <v>214</v>
      </c>
      <c r="O56" s="252"/>
      <c r="P56" s="252"/>
      <c r="Q56" s="252"/>
      <c r="R56" s="253"/>
      <c r="S56" s="471">
        <f>IF($R$2="Oui",M56*2.81*Z42*AE49,0)</f>
        <v>0</v>
      </c>
      <c r="T56" s="472"/>
      <c r="U56" s="472"/>
      <c r="V56" s="233" t="s">
        <v>55</v>
      </c>
      <c r="W56" s="234">
        <f>IF($R$3="Oui",M56*2.81*Z42*AE49,0)</f>
        <v>0</v>
      </c>
      <c r="X56" s="235" t="s">
        <v>55</v>
      </c>
      <c r="Y56" s="23"/>
      <c r="Z56" s="246"/>
      <c r="AA56" s="246"/>
    </row>
    <row r="57" spans="2:49" ht="12.75" customHeight="1" x14ac:dyDescent="0.2">
      <c r="J57" s="254"/>
      <c r="K57" s="254"/>
      <c r="L57" s="24"/>
      <c r="M57" s="255"/>
      <c r="N57" s="256"/>
      <c r="O57" s="257"/>
      <c r="P57" s="23"/>
      <c r="Q57" s="258"/>
      <c r="R57" s="259" t="s">
        <v>262</v>
      </c>
      <c r="S57" s="473">
        <f>IF($R$2="Oui",SUM(S43:U56),0)</f>
        <v>0</v>
      </c>
      <c r="T57" s="474"/>
      <c r="U57" s="474"/>
      <c r="V57" s="260" t="s">
        <v>55</v>
      </c>
      <c r="W57" s="261">
        <f>IF($R$3="Oui",SUM(W43:W56),0)</f>
        <v>0</v>
      </c>
      <c r="X57" s="262" t="s">
        <v>55</v>
      </c>
      <c r="Y57" s="23"/>
      <c r="Z57" s="246"/>
      <c r="AA57" s="246"/>
    </row>
    <row r="58" spans="2:49" ht="12.75" customHeight="1" x14ac:dyDescent="0.2">
      <c r="Y58" s="17"/>
      <c r="AB58" s="448" t="s">
        <v>164</v>
      </c>
      <c r="AC58" s="449"/>
      <c r="AD58" s="450"/>
    </row>
    <row r="59" spans="2:49" ht="12.75" customHeight="1" x14ac:dyDescent="0.2">
      <c r="AB59" s="451">
        <f>Configuration!$H$30</f>
        <v>0</v>
      </c>
      <c r="AC59" s="452"/>
      <c r="AD59" s="453"/>
    </row>
    <row r="70" spans="48:49" ht="12.75" customHeight="1" x14ac:dyDescent="0.2">
      <c r="AV70" s="141" t="s">
        <v>270</v>
      </c>
      <c r="AW70" s="290">
        <f>IF(($R$41=AV70)*AND($R$42&lt;&gt;""),VLOOKUP($R$42,'Barèmes CALOG'!$B$4:$C$34,2),0)</f>
        <v>0</v>
      </c>
    </row>
    <row r="71" spans="48:49" ht="12.75" customHeight="1" x14ac:dyDescent="0.2">
      <c r="AV71" s="141" t="s">
        <v>271</v>
      </c>
      <c r="AW71" s="290">
        <f>IF(($R$41=AV71)*AND($R$42&lt;&gt;""),VLOOKUP($R$42,'Barèmes CALOG'!$E$4:$F$34,2),0)</f>
        <v>0</v>
      </c>
    </row>
    <row r="72" spans="48:49" ht="12.75" customHeight="1" x14ac:dyDescent="0.2">
      <c r="AV72" s="141" t="s">
        <v>272</v>
      </c>
      <c r="AW72" s="290">
        <f>IF(($R$41=AV72)*AND($R$42&lt;&gt;""),VLOOKUP($R$42,'Barèmes CALOG'!$H$4:$I$34,2),0)</f>
        <v>0</v>
      </c>
    </row>
    <row r="73" spans="48:49" ht="12.75" customHeight="1" x14ac:dyDescent="0.2">
      <c r="AV73" s="141" t="s">
        <v>273</v>
      </c>
      <c r="AW73" s="290">
        <f>IF(($R$41=AV73)*AND($R$42&lt;&gt;""),VLOOKUP($R$42,'Barèmes CALOG'!$K$4:$L$34,2),0)</f>
        <v>0</v>
      </c>
    </row>
    <row r="74" spans="48:49" ht="12.75" customHeight="1" x14ac:dyDescent="0.2">
      <c r="AV74" s="141" t="s">
        <v>274</v>
      </c>
      <c r="AW74" s="290">
        <f>IF(($R$41=AV74)*AND($R$42&lt;&gt;""),VLOOKUP($R$42,'Barèmes CALOG'!$N$4:$O$34,2),0)</f>
        <v>0</v>
      </c>
    </row>
    <row r="75" spans="48:49" ht="12.75" customHeight="1" x14ac:dyDescent="0.2">
      <c r="AV75" s="141" t="s">
        <v>275</v>
      </c>
      <c r="AW75" s="290">
        <f>IF(($R$41=AV75)*AND($R$42&lt;&gt;""),VLOOKUP($R$42,'Barèmes CALOG'!$Q$4:$R$34,2),0)</f>
        <v>0</v>
      </c>
    </row>
    <row r="76" spans="48:49" ht="12.75" customHeight="1" x14ac:dyDescent="0.2">
      <c r="AV76" s="141" t="s">
        <v>276</v>
      </c>
      <c r="AW76" s="290">
        <f>IF(($R$41=AV76)*AND($R$42&lt;&gt;""),VLOOKUP($R$42,'Barèmes CALOG'!$T$4:$U$34,2),0)</f>
        <v>0</v>
      </c>
    </row>
    <row r="77" spans="48:49" ht="12.75" customHeight="1" x14ac:dyDescent="0.2">
      <c r="AV77" s="141" t="s">
        <v>277</v>
      </c>
      <c r="AW77" s="290">
        <f>IF(($R$41=AV77)*AND($R$42&lt;&gt;""),VLOOKUP($R$42,'Barèmes CALOG'!$W$4:$X$34,2),0)</f>
        <v>0</v>
      </c>
    </row>
    <row r="78" spans="48:49" ht="12.75" customHeight="1" x14ac:dyDescent="0.2">
      <c r="AV78" s="141" t="s">
        <v>278</v>
      </c>
      <c r="AW78" s="290">
        <f>IF(($R$41=AV78)*AND($R$42&lt;&gt;""),VLOOKUP($R$42,'Barèmes CALOG'!$Z$4:$AA$34,2),0)</f>
        <v>0</v>
      </c>
    </row>
    <row r="79" spans="48:49" ht="12.75" customHeight="1" x14ac:dyDescent="0.2">
      <c r="AV79" s="141" t="s">
        <v>279</v>
      </c>
      <c r="AW79" s="290">
        <f>IF(($R$41=AV79)*AND($R$42&lt;&gt;""),VLOOKUP($R$42,'Barèmes CALOG'!$AC$4:$AD$34,2),0)</f>
        <v>0</v>
      </c>
    </row>
    <row r="80" spans="48:49" ht="12.75" customHeight="1" x14ac:dyDescent="0.2">
      <c r="AV80" s="141" t="s">
        <v>280</v>
      </c>
      <c r="AW80" s="290">
        <f>IF(($R$41=AV80)*AND($R$42&lt;&gt;""),VLOOKUP($R$42,'Barèmes CALOG'!$AF$4:$AG$34,2),0)</f>
        <v>0</v>
      </c>
    </row>
    <row r="81" spans="48:49" ht="12.75" customHeight="1" x14ac:dyDescent="0.2">
      <c r="AV81" s="141" t="s">
        <v>281</v>
      </c>
      <c r="AW81" s="290">
        <f>IF(($R$41=AV81)*AND($R$42&lt;&gt;""),VLOOKUP($R$42,'Barèmes CALOG'!$AI$4:$AJ$34,2),0)</f>
        <v>0</v>
      </c>
    </row>
    <row r="82" spans="48:49" ht="12.75" customHeight="1" x14ac:dyDescent="0.2">
      <c r="AV82" s="141" t="s">
        <v>282</v>
      </c>
      <c r="AW82" s="290">
        <f>IF(($R$41=AV82)*AND($R$42&lt;&gt;""),VLOOKUP($R$42,'Barèmes CALOG'!$AL$4:$AM$34,2),0)</f>
        <v>0</v>
      </c>
    </row>
    <row r="83" spans="48:49" ht="12.75" customHeight="1" x14ac:dyDescent="0.2">
      <c r="AV83" s="141" t="s">
        <v>283</v>
      </c>
      <c r="AW83" s="290">
        <f>IF(($R$41=AV83)*AND($R$42&lt;&gt;""),VLOOKUP($R$42,'Barèmes CALOG'!$AO$4:$AP$34,2),0)</f>
        <v>0</v>
      </c>
    </row>
    <row r="84" spans="48:49" ht="12.75" customHeight="1" x14ac:dyDescent="0.2">
      <c r="AV84" s="141" t="s">
        <v>284</v>
      </c>
      <c r="AW84" s="290">
        <f>IF(($R$41=AV84)*AND($R$42&lt;&gt;""),VLOOKUP($R$42,'Barèmes CALOG'!$AR$4:$AS$34,2),0)</f>
        <v>0</v>
      </c>
    </row>
    <row r="85" spans="48:49" ht="12.75" customHeight="1" x14ac:dyDescent="0.2">
      <c r="AV85" s="141" t="s">
        <v>285</v>
      </c>
      <c r="AW85" s="290">
        <f>IF(($R$41=AV85)*AND($R$42&lt;&gt;""),VLOOKUP($R$42,'Barèmes CALOG'!$AU$4:$AV$34,2),0)</f>
        <v>0</v>
      </c>
    </row>
    <row r="86" spans="48:49" ht="12.75" customHeight="1" x14ac:dyDescent="0.2">
      <c r="AV86" s="141" t="s">
        <v>286</v>
      </c>
      <c r="AW86" s="290">
        <f>IF(($R$41=AV86)*AND($R$42&lt;&gt;""),VLOOKUP($R$42,'Barèmes CALOG'!$AX$4:$AY$34,2),0)</f>
        <v>0</v>
      </c>
    </row>
    <row r="87" spans="48:49" ht="12.75" customHeight="1" x14ac:dyDescent="0.2">
      <c r="AV87" s="141" t="s">
        <v>287</v>
      </c>
      <c r="AW87" s="290">
        <f>IF(($R$41=AV87)*AND($R$42&lt;&gt;""),VLOOKUP($R$42,'Barèmes CALOG'!$BA$4:$BB$34,2),0)</f>
        <v>0</v>
      </c>
    </row>
    <row r="88" spans="48:49" ht="12.75" customHeight="1" x14ac:dyDescent="0.2">
      <c r="AV88" s="141" t="s">
        <v>288</v>
      </c>
      <c r="AW88" s="290">
        <f>IF(($R$41=AV88)*AND($R$42&lt;&gt;""),VLOOKUP($R$42,'Barèmes CALOG'!$BD$4:$BE$34,2),0)</f>
        <v>0</v>
      </c>
    </row>
    <row r="89" spans="48:49" ht="12.75" customHeight="1" x14ac:dyDescent="0.2">
      <c r="AV89" s="141" t="s">
        <v>289</v>
      </c>
      <c r="AW89" s="290">
        <f>IF(($R$41=AV89)*AND($R$42&lt;&gt;""),VLOOKUP($R$42,'Barèmes CALOG'!$BG$4:$BH$34,2),0)</f>
        <v>0</v>
      </c>
    </row>
    <row r="90" spans="48:49" ht="12.75" customHeight="1" x14ac:dyDescent="0.2">
      <c r="AV90" s="141" t="s">
        <v>290</v>
      </c>
      <c r="AW90" s="290">
        <f>IF(($R$41=AV90)*AND($R$42&lt;&gt;""),VLOOKUP($R$42,'Barèmes CALOG'!$BJ$4:$BK$34,2),0)</f>
        <v>0</v>
      </c>
    </row>
    <row r="91" spans="48:49" ht="12.75" customHeight="1" x14ac:dyDescent="0.2">
      <c r="AV91" s="141" t="s">
        <v>291</v>
      </c>
      <c r="AW91" s="290">
        <f>IF(($R$41=AV91)*AND($R$42&lt;&gt;""),VLOOKUP($R$42,'Barèmes CALOG'!$BM$4:$BN$34,2),0)</f>
        <v>0</v>
      </c>
    </row>
    <row r="92" spans="48:49" ht="12.75" customHeight="1" x14ac:dyDescent="0.2">
      <c r="AV92" s="141" t="s">
        <v>292</v>
      </c>
      <c r="AW92" s="290">
        <f>IF(($R$41=AV92)*AND($R$42&lt;&gt;""),VLOOKUP($R$42,'Barèmes CALOG'!$BP$4:$BQ$34,2),0)</f>
        <v>0</v>
      </c>
    </row>
    <row r="93" spans="48:49" ht="12.75" customHeight="1" x14ac:dyDescent="0.2">
      <c r="AV93" s="141" t="s">
        <v>293</v>
      </c>
      <c r="AW93" s="290">
        <f>IF(($R$41=AV93)*AND($R$42&lt;&gt;""),VLOOKUP($R$42,'Barèmes CALOG'!$BS$4:$BT$34,2),0)</f>
        <v>0</v>
      </c>
    </row>
    <row r="94" spans="48:49" ht="12.75" customHeight="1" x14ac:dyDescent="0.2">
      <c r="AV94" s="141" t="s">
        <v>294</v>
      </c>
      <c r="AW94" s="290">
        <f>IF(($R$41=AV94)*AND($R$42&lt;&gt;""),VLOOKUP($R$42,'Barèmes CALOG'!$BV$4:$BW$34,2),0)</f>
        <v>0</v>
      </c>
    </row>
    <row r="95" spans="48:49" ht="12.75" customHeight="1" x14ac:dyDescent="0.2">
      <c r="AV95" s="141" t="s">
        <v>295</v>
      </c>
      <c r="AW95" s="290">
        <f>IF(($R$41=AV95)*AND($R$42&lt;&gt;""),VLOOKUP($R$42,'Barèmes CALOG'!$BY$4:$BZ$34,2),0)</f>
        <v>0</v>
      </c>
    </row>
    <row r="96" spans="48:49" ht="12.75" customHeight="1" x14ac:dyDescent="0.2">
      <c r="AV96" s="141" t="s">
        <v>296</v>
      </c>
      <c r="AW96" s="290">
        <f>IF(($R$41=AV96)*AND($R$42&lt;&gt;""),VLOOKUP($R$42,'Barèmes CALOG'!$CB$4:$CC$34,2),0)</f>
        <v>0</v>
      </c>
    </row>
    <row r="97" spans="48:49" ht="12.75" customHeight="1" x14ac:dyDescent="0.2">
      <c r="AV97" s="141" t="s">
        <v>297</v>
      </c>
      <c r="AW97" s="290">
        <f>IF(($R$41=AV97)*AND($R$42&lt;&gt;""),VLOOKUP($R$42,'Barèmes CALOG'!$CE$4:$CF$34,2),0)</f>
        <v>0</v>
      </c>
    </row>
    <row r="98" spans="48:49" ht="12.75" customHeight="1" x14ac:dyDescent="0.2">
      <c r="AV98" s="141" t="s">
        <v>298</v>
      </c>
      <c r="AW98" s="290">
        <f>IF(($R$41=AV98)*AND($R$42&lt;&gt;""),VLOOKUP($R$42,'Barèmes CALOG'!$CH$4:$CI$34,2),0)</f>
        <v>0</v>
      </c>
    </row>
    <row r="99" spans="48:49" ht="12.75" customHeight="1" x14ac:dyDescent="0.2">
      <c r="AV99" s="141" t="s">
        <v>299</v>
      </c>
      <c r="AW99" s="290">
        <f>IF(($R$41=AV99)*AND($R$42&lt;&gt;""),VLOOKUP($R$42,'Barèmes CALOG'!$CK$4:$CL$34,2),0)</f>
        <v>0</v>
      </c>
    </row>
    <row r="100" spans="48:49" ht="12.75" customHeight="1" x14ac:dyDescent="0.2">
      <c r="AV100" s="141" t="s">
        <v>300</v>
      </c>
      <c r="AW100" s="290">
        <f>IF(($R$41=AV100)*AND($R$42&lt;&gt;""),VLOOKUP($R$42,'Barèmes CALOG'!$CN$4:$CO$34,2),0)</f>
        <v>0</v>
      </c>
    </row>
    <row r="101" spans="48:49" ht="12.75" customHeight="1" x14ac:dyDescent="0.2">
      <c r="AV101" s="141" t="s">
        <v>301</v>
      </c>
      <c r="AW101" s="290">
        <f>IF(($R$41=AV101)*AND($R$42&lt;&gt;""),VLOOKUP($R$42,'Barèmes CALOG'!$CQ$4:$CR$34,2),0)</f>
        <v>0</v>
      </c>
    </row>
    <row r="102" spans="48:49" ht="12.75" customHeight="1" x14ac:dyDescent="0.2">
      <c r="AV102" s="141" t="s">
        <v>302</v>
      </c>
      <c r="AW102" s="290">
        <f>IF(($R$41=AV102)*AND($R$42&lt;&gt;""),VLOOKUP($R$42,'Barèmes CALOG'!$CT$4:$CU$34,2),0)</f>
        <v>0</v>
      </c>
    </row>
    <row r="103" spans="48:49" ht="12.75" customHeight="1" x14ac:dyDescent="0.2">
      <c r="AV103" s="141" t="s">
        <v>303</v>
      </c>
      <c r="AW103" s="290">
        <f>IF(($R$41=AV103)*AND($R$42&lt;&gt;""),VLOOKUP($R$42,'Barèmes CALOG'!$CW$4:$CX$34,2),0)</f>
        <v>0</v>
      </c>
    </row>
    <row r="104" spans="48:49" ht="12.75" customHeight="1" x14ac:dyDescent="0.2">
      <c r="AV104" s="141" t="s">
        <v>304</v>
      </c>
      <c r="AW104" s="290">
        <f>IF(($R$41=AV104)*AND($R$42&lt;&gt;""),VLOOKUP($R$42,'Barèmes CALOG'!$B$40:$C$70,2),0)</f>
        <v>0</v>
      </c>
    </row>
    <row r="105" spans="48:49" ht="12.75" customHeight="1" x14ac:dyDescent="0.2">
      <c r="AV105" s="141" t="s">
        <v>305</v>
      </c>
      <c r="AW105" s="290">
        <f>IF(($R$41=AV105)*AND($R$42&lt;&gt;""),VLOOKUP($R$42,'Barèmes CALOG'!$E$40:$F$70,2),0)</f>
        <v>0</v>
      </c>
    </row>
    <row r="106" spans="48:49" ht="12.75" customHeight="1" x14ac:dyDescent="0.2">
      <c r="AV106" s="141" t="s">
        <v>306</v>
      </c>
      <c r="AW106" s="290">
        <f>IF(($R$41=AV106)*AND($R$42&lt;&gt;""),VLOOKUP($R$42,'Barèmes CALOG'!$H$40:$I$70,2),0)</f>
        <v>0</v>
      </c>
    </row>
    <row r="107" spans="48:49" ht="12.75" customHeight="1" x14ac:dyDescent="0.2">
      <c r="AV107" s="141" t="s">
        <v>307</v>
      </c>
      <c r="AW107" s="290">
        <f>IF(($R$41=AV107)*AND($R$42&lt;&gt;""),VLOOKUP($R$42,'Barèmes CALOG'!$K$40:$L$70,2),0)</f>
        <v>0</v>
      </c>
    </row>
    <row r="108" spans="48:49" ht="12.75" customHeight="1" x14ac:dyDescent="0.2">
      <c r="AV108" s="141" t="s">
        <v>308</v>
      </c>
      <c r="AW108" s="290">
        <f>IF(($R$41=AV108)*AND($R$42&lt;&gt;""),VLOOKUP($R$42,'Barèmes CALOG'!$N$40:$O$70,2),0)</f>
        <v>0</v>
      </c>
    </row>
    <row r="109" spans="48:49" ht="12.75" customHeight="1" x14ac:dyDescent="0.2">
      <c r="AV109" s="141" t="s">
        <v>309</v>
      </c>
      <c r="AW109" s="290">
        <f>IF(($R$41=AV109)*AND($R$42&lt;&gt;""),VLOOKUP($R$42,'Barèmes CALOG'!$Q$40:$R$70,2),0)</f>
        <v>0</v>
      </c>
    </row>
    <row r="110" spans="48:49" ht="12.75" customHeight="1" x14ac:dyDescent="0.2">
      <c r="AV110" s="141" t="s">
        <v>310</v>
      </c>
      <c r="AW110" s="290">
        <f>IF(($R$41=AV110)*AND($R$42&lt;&gt;""),VLOOKUP($R$42,'Barèmes CALOG'!$T$40:$U$70,2),0)</f>
        <v>0</v>
      </c>
    </row>
    <row r="111" spans="48:49" ht="12.75" customHeight="1" x14ac:dyDescent="0.2">
      <c r="AV111" s="141" t="s">
        <v>311</v>
      </c>
      <c r="AW111" s="290">
        <f>IF(($R$41=AV111)*AND($R$42&lt;&gt;""),VLOOKUP($R$42,'Barèmes CALOG'!$W$40:$X$70,2),0)</f>
        <v>0</v>
      </c>
    </row>
    <row r="112" spans="48:49" ht="12.75" customHeight="1" x14ac:dyDescent="0.2">
      <c r="AV112" s="141" t="s">
        <v>312</v>
      </c>
      <c r="AW112" s="290">
        <f>IF(($R$41=AV112)*AND($R$42&lt;&gt;""),VLOOKUP($R$42,'Barèmes CALOG'!$Z$40:$AA$70,2),0)</f>
        <v>0</v>
      </c>
    </row>
    <row r="113" spans="48:49" ht="12.75" customHeight="1" x14ac:dyDescent="0.2">
      <c r="AV113" s="141" t="s">
        <v>313</v>
      </c>
      <c r="AW113" s="290">
        <f>IF(($R$41=AV113)*AND($R$42&lt;&gt;""),VLOOKUP($R$42,'Barèmes CALOG'!$AC$40:$AD$70,2),0)</f>
        <v>0</v>
      </c>
    </row>
    <row r="114" spans="48:49" ht="12.75" customHeight="1" x14ac:dyDescent="0.2">
      <c r="AV114" s="141" t="s">
        <v>314</v>
      </c>
      <c r="AW114" s="290">
        <f>IF(($R$41=AV114)*AND($R$42&lt;&gt;""),VLOOKUP($R$42,'Barèmes CALOG'!$AF$40:$AG$70,2),0)</f>
        <v>0</v>
      </c>
    </row>
    <row r="115" spans="48:49" ht="12.75" customHeight="1" x14ac:dyDescent="0.2">
      <c r="AV115" s="141" t="s">
        <v>315</v>
      </c>
      <c r="AW115" s="290">
        <f>IF(($R$41=AV115)*AND($R$42&lt;&gt;""),VLOOKUP($R$42,'Barèmes CALOG'!$AI$40:$AJ$70,2),0)</f>
        <v>0</v>
      </c>
    </row>
    <row r="116" spans="48:49" ht="12.75" customHeight="1" x14ac:dyDescent="0.2">
      <c r="AV116" s="141" t="s">
        <v>316</v>
      </c>
      <c r="AW116" s="290">
        <f>IF(($R$41=AV116)*AND($R$42&lt;&gt;""),VLOOKUP($R$42,'Barèmes CALOG'!$AL$40:$AM$70,2),0)</f>
        <v>0</v>
      </c>
    </row>
    <row r="117" spans="48:49" ht="12.75" customHeight="1" x14ac:dyDescent="0.2">
      <c r="AV117" s="141" t="s">
        <v>317</v>
      </c>
      <c r="AW117" s="290">
        <f>IF(($R$41=AV117)*AND($R$42&lt;&gt;""),VLOOKUP($R$42,'Barèmes CALOG'!$AO$40:$AP$70,2),0)</f>
        <v>0</v>
      </c>
    </row>
    <row r="118" spans="48:49" ht="12.75" customHeight="1" x14ac:dyDescent="0.2">
      <c r="AV118" s="141" t="s">
        <v>318</v>
      </c>
      <c r="AW118" s="290">
        <f>IF(($R$41=AV118)*AND($R$42&lt;&gt;""),VLOOKUP($R$42,'Barèmes CALOG'!$AR$40:$AS$70,2),0)</f>
        <v>0</v>
      </c>
    </row>
    <row r="119" spans="48:49" ht="12.75" customHeight="1" x14ac:dyDescent="0.2">
      <c r="AV119" s="141" t="s">
        <v>319</v>
      </c>
      <c r="AW119" s="290">
        <f>IF(($R$41=AV119)*AND($R$42&lt;&gt;""),VLOOKUP($R$42,'Barèmes CALOG'!$AU$40:$AV$70,2),0)</f>
        <v>0</v>
      </c>
    </row>
    <row r="120" spans="48:49" ht="12.75" customHeight="1" x14ac:dyDescent="0.2">
      <c r="AV120" s="141" t="s">
        <v>320</v>
      </c>
      <c r="AW120" s="290">
        <f>IF(($R$41=AV120)*AND($R$42&lt;&gt;""),VLOOKUP($R$42,'Barèmes CALOG'!$AX$40:$AY$70,2),0)</f>
        <v>0</v>
      </c>
    </row>
    <row r="121" spans="48:49" ht="12.75" customHeight="1" x14ac:dyDescent="0.2">
      <c r="AV121" s="141" t="s">
        <v>321</v>
      </c>
      <c r="AW121" s="290">
        <f>IF(($R$41=AV121)*AND($R$42&lt;&gt;""),VLOOKUP($R$42,'Barèmes CALOG'!$BA$40:$BB$70,2),0)</f>
        <v>0</v>
      </c>
    </row>
    <row r="122" spans="48:49" ht="12.75" customHeight="1" x14ac:dyDescent="0.2">
      <c r="AV122" s="141" t="s">
        <v>322</v>
      </c>
      <c r="AW122" s="290">
        <f>IF(($R$41=AV122)*AND($R$42&lt;&gt;""),VLOOKUP($R$42,'Barèmes CALOG'!$BD$40:$BE$70,2),0)</f>
        <v>0</v>
      </c>
    </row>
    <row r="123" spans="48:49" ht="12.75" customHeight="1" x14ac:dyDescent="0.2">
      <c r="AV123" s="141" t="s">
        <v>323</v>
      </c>
      <c r="AW123" s="290">
        <f>IF(($R$41=AV123)*AND($R$42&lt;&gt;""),VLOOKUP($R$42,'Barèmes CALOG'!$BG$40:$BH$70,2),0)</f>
        <v>0</v>
      </c>
    </row>
    <row r="124" spans="48:49" ht="12.75" customHeight="1" x14ac:dyDescent="0.2">
      <c r="AV124" s="141" t="s">
        <v>324</v>
      </c>
      <c r="AW124" s="290">
        <f>IF(($R$41=AV124)*AND($R$42&lt;&gt;""),VLOOKUP($R$42,'Barèmes CALOG'!$BJ$40:$BK$70,2),0)</f>
        <v>0</v>
      </c>
    </row>
    <row r="125" spans="48:49" ht="12.75" customHeight="1" x14ac:dyDescent="0.2">
      <c r="AV125" s="141" t="s">
        <v>325</v>
      </c>
      <c r="AW125" s="290">
        <f>IF(($R$41=AV125)*AND($R$42&lt;&gt;""),VLOOKUP($R$42,'Barèmes CALOG'!$BM$40:$BN$70,2),0)</f>
        <v>0</v>
      </c>
    </row>
    <row r="126" spans="48:49" ht="12.75" customHeight="1" x14ac:dyDescent="0.2">
      <c r="AV126" s="141" t="s">
        <v>326</v>
      </c>
      <c r="AW126" s="290">
        <f>IF(($R$41=AV126)*AND($R$42&lt;&gt;""),VLOOKUP($R$42,'Barèmes CALOG'!$BP$40:$BQ$70,2),0)</f>
        <v>0</v>
      </c>
    </row>
    <row r="127" spans="48:49" ht="12.75" customHeight="1" x14ac:dyDescent="0.2">
      <c r="AV127" s="141" t="s">
        <v>327</v>
      </c>
      <c r="AW127" s="290">
        <f>IF(($R$41=AV127)*AND($R$42&lt;&gt;""),VLOOKUP($R$42,'Barèmes CALOG'!$BS$40:$BT$70,2),0)</f>
        <v>0</v>
      </c>
    </row>
    <row r="128" spans="48:49" ht="12.75" customHeight="1" x14ac:dyDescent="0.2">
      <c r="AV128" s="141" t="s">
        <v>328</v>
      </c>
      <c r="AW128" s="290">
        <f>IF(($R$41=AV128)*AND($R$42&lt;&gt;""),VLOOKUP($R$42,'Barèmes CALOG'!$BV$40:$BW$70,2),0)</f>
        <v>0</v>
      </c>
    </row>
    <row r="129" spans="48:49" ht="12.75" customHeight="1" x14ac:dyDescent="0.2">
      <c r="AV129" s="141" t="s">
        <v>329</v>
      </c>
      <c r="AW129" s="290">
        <f>IF(($R$41=AV129)*AND($R$42&lt;&gt;""),VLOOKUP($R$42,'Barèmes CALOG'!$BY$40:$BZ$70,2),0)</f>
        <v>0</v>
      </c>
    </row>
    <row r="130" spans="48:49" ht="12.75" customHeight="1" x14ac:dyDescent="0.2">
      <c r="AV130" s="141" t="s">
        <v>330</v>
      </c>
      <c r="AW130" s="290">
        <f>IF(($R$41=AV130)*AND($R$42&lt;&gt;""),VLOOKUP($R$42,'Barèmes CALOG'!$CB$40:$CC$70,2),0)</f>
        <v>0</v>
      </c>
    </row>
    <row r="131" spans="48:49" ht="12.75" customHeight="1" x14ac:dyDescent="0.2">
      <c r="AV131" s="141" t="s">
        <v>331</v>
      </c>
      <c r="AW131" s="290">
        <f>IF(($R$41=AV131)*AND($R$42&lt;&gt;""),VLOOKUP($R$42,'Barèmes CALOG'!$CE$40:$CF$70,2),0)</f>
        <v>0</v>
      </c>
    </row>
  </sheetData>
  <sheetProtection password="EC91" sheet="1" objects="1" scenarios="1" selectLockedCells="1"/>
  <mergeCells count="124">
    <mergeCell ref="AB58:AD58"/>
    <mergeCell ref="B53:E53"/>
    <mergeCell ref="F53:G53"/>
    <mergeCell ref="S53:U53"/>
    <mergeCell ref="AB53:AD53"/>
    <mergeCell ref="AB59:AD59"/>
    <mergeCell ref="AG54:AJ54"/>
    <mergeCell ref="S55:U55"/>
    <mergeCell ref="AB55:AD55"/>
    <mergeCell ref="AG55:AJ55"/>
    <mergeCell ref="S56:U56"/>
    <mergeCell ref="S57:U57"/>
    <mergeCell ref="S54:U54"/>
    <mergeCell ref="AB54:AD54"/>
    <mergeCell ref="S52:U52"/>
    <mergeCell ref="AB52:AD52"/>
    <mergeCell ref="AG52:AJ52"/>
    <mergeCell ref="B50:G50"/>
    <mergeCell ref="O50:Q50"/>
    <mergeCell ref="S50:U50"/>
    <mergeCell ref="B51:E51"/>
    <mergeCell ref="S51:U51"/>
    <mergeCell ref="AG51:AJ51"/>
    <mergeCell ref="O51:R51"/>
    <mergeCell ref="B52:E52"/>
    <mergeCell ref="F52:G52"/>
    <mergeCell ref="O52:R52"/>
    <mergeCell ref="O49:Q49"/>
    <mergeCell ref="S49:U49"/>
    <mergeCell ref="AB49:AD49"/>
    <mergeCell ref="AG49:AJ49"/>
    <mergeCell ref="O47:Q47"/>
    <mergeCell ref="S47:U47"/>
    <mergeCell ref="AB48:AD48"/>
    <mergeCell ref="Z48:AA48"/>
    <mergeCell ref="Z49:AA49"/>
    <mergeCell ref="B48:E48"/>
    <mergeCell ref="F48:G48"/>
    <mergeCell ref="O48:Q48"/>
    <mergeCell ref="S48:U48"/>
    <mergeCell ref="AM45:AP45"/>
    <mergeCell ref="AQ45:AR45"/>
    <mergeCell ref="B46:D46"/>
    <mergeCell ref="E46:F46"/>
    <mergeCell ref="G46:H46"/>
    <mergeCell ref="Z46:AA46"/>
    <mergeCell ref="AG48:AJ48"/>
    <mergeCell ref="AB46:AD46"/>
    <mergeCell ref="AG46:AJ46"/>
    <mergeCell ref="AM46:AP46"/>
    <mergeCell ref="AQ46:AR46"/>
    <mergeCell ref="B45:D45"/>
    <mergeCell ref="E45:F45"/>
    <mergeCell ref="G45:H45"/>
    <mergeCell ref="S45:U45"/>
    <mergeCell ref="AB45:AD45"/>
    <mergeCell ref="AG45:AJ45"/>
    <mergeCell ref="B44:D44"/>
    <mergeCell ref="E44:F44"/>
    <mergeCell ref="G44:H44"/>
    <mergeCell ref="S44:U44"/>
    <mergeCell ref="Z44:AA45"/>
    <mergeCell ref="AB44:AD44"/>
    <mergeCell ref="AG44:AJ44"/>
    <mergeCell ref="AM44:AP44"/>
    <mergeCell ref="AQ44:AR44"/>
    <mergeCell ref="B43:D43"/>
    <mergeCell ref="E43:F43"/>
    <mergeCell ref="G43:H43"/>
    <mergeCell ref="S43:U43"/>
    <mergeCell ref="J41:N41"/>
    <mergeCell ref="R41:S41"/>
    <mergeCell ref="AB43:AD43"/>
    <mergeCell ref="AG43:AJ43"/>
    <mergeCell ref="AM43:AQ43"/>
    <mergeCell ref="B42:D42"/>
    <mergeCell ref="E42:F42"/>
    <mergeCell ref="G42:H42"/>
    <mergeCell ref="R42:S42"/>
    <mergeCell ref="T42:V42"/>
    <mergeCell ref="Z42:AA42"/>
    <mergeCell ref="B41:D41"/>
    <mergeCell ref="E41:F41"/>
    <mergeCell ref="G41:H41"/>
    <mergeCell ref="T41:V41"/>
    <mergeCell ref="O7:P7"/>
    <mergeCell ref="AV4:AV7"/>
    <mergeCell ref="AW4:AW7"/>
    <mergeCell ref="AH5:AJ5"/>
    <mergeCell ref="AK5:AN5"/>
    <mergeCell ref="W40:X40"/>
    <mergeCell ref="AF4:AF7"/>
    <mergeCell ref="AS4:AS7"/>
    <mergeCell ref="AO4:AR4"/>
    <mergeCell ref="AT4:AT7"/>
    <mergeCell ref="AU4:AU7"/>
    <mergeCell ref="AG4:AG7"/>
    <mergeCell ref="AE4:AE7"/>
    <mergeCell ref="Z41:AA41"/>
    <mergeCell ref="Z6:Z7"/>
    <mergeCell ref="X6:X7"/>
    <mergeCell ref="AB4:AB7"/>
    <mergeCell ref="AC4:AC7"/>
    <mergeCell ref="AD4:AD7"/>
    <mergeCell ref="J6:K6"/>
    <mergeCell ref="L6:N6"/>
    <mergeCell ref="O6:P6"/>
    <mergeCell ref="Q6:T6"/>
    <mergeCell ref="B6:B7"/>
    <mergeCell ref="C6:C7"/>
    <mergeCell ref="D6:D7"/>
    <mergeCell ref="E6:E7"/>
    <mergeCell ref="F6:G6"/>
    <mergeCell ref="H6:I6"/>
    <mergeCell ref="D2:G2"/>
    <mergeCell ref="I2:L2"/>
    <mergeCell ref="N2:Q2"/>
    <mergeCell ref="R2:S2"/>
    <mergeCell ref="D3:G3"/>
    <mergeCell ref="J3:L3"/>
    <mergeCell ref="N3:Q3"/>
    <mergeCell ref="R3:S3"/>
    <mergeCell ref="D4:G4"/>
    <mergeCell ref="J4:L4"/>
  </mergeCells>
  <conditionalFormatting sqref="B8:AA38">
    <cfRule type="expression" dxfId="1" priority="3" stopIfTrue="1">
      <formula>OR($B8="Sa",$B8="Di",$D8="Jour férié semaine",$D8="Jour de pont")</formula>
    </cfRule>
  </conditionalFormatting>
  <conditionalFormatting sqref="Y8:AA38">
    <cfRule type="expression" dxfId="0" priority="1" stopIfTrue="1">
      <formula>OR($B8="Za",$B8="Zo",$D8="Feestdag week",$D8="Brugdag")</formula>
    </cfRule>
  </conditionalFormatting>
  <dataValidations count="3">
    <dataValidation type="list" allowBlank="1" showInputMessage="1" showErrorMessage="1" sqref="D8:D38" xr:uid="{00000000-0002-0000-0E00-000000000000}">
      <formula1>$AX$8:$AX$29</formula1>
    </dataValidation>
    <dataValidation type="list" allowBlank="1" showInputMessage="1" showErrorMessage="1" sqref="E8:E38" xr:uid="{00000000-0002-0000-0E00-000001000000}">
      <formula1>"M,E,ME"</formula1>
    </dataValidation>
    <dataValidation type="list" allowBlank="1" showInputMessage="1" showErrorMessage="1" sqref="R2:R3 F48" xr:uid="{00000000-0002-0000-0E00-000002000000}">
      <formula1>"Oui,Non"</formula1>
    </dataValidation>
  </dataValidations>
  <pageMargins left="0.7" right="0.7" top="0.75" bottom="0.75" header="0.3" footer="0.3"/>
  <pageSetup paperSize="9" scale="68" fitToWidth="0" orientation="landscape"/>
  <drawing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
  <dimension ref="A1:BQ72"/>
  <sheetViews>
    <sheetView workbookViewId="0">
      <selection activeCell="A3" sqref="A3"/>
    </sheetView>
  </sheetViews>
  <sheetFormatPr defaultRowHeight="14.25" x14ac:dyDescent="0.2"/>
  <cols>
    <col min="1" max="1" width="5.7109375" style="2" customWidth="1"/>
    <col min="2" max="2" width="3.42578125" style="2" customWidth="1"/>
    <col min="3" max="3" width="8.42578125" style="2" customWidth="1"/>
    <col min="4" max="4" width="5.7109375" style="2" customWidth="1"/>
    <col min="5" max="5" width="3.28515625" style="2" customWidth="1"/>
    <col min="6" max="6" width="8.85546875" style="2" customWidth="1"/>
    <col min="7" max="7" width="5.7109375" style="2" customWidth="1"/>
    <col min="8" max="8" width="3.42578125" style="2" customWidth="1"/>
    <col min="9" max="9" width="8.42578125" style="2" customWidth="1"/>
    <col min="10" max="10" width="3.42578125" style="2" customWidth="1"/>
    <col min="11" max="11" width="3.140625" style="2" customWidth="1"/>
    <col min="12" max="12" width="8" style="2" customWidth="1"/>
    <col min="13" max="14" width="4.140625" style="2" customWidth="1"/>
    <col min="15" max="15" width="8.42578125" style="2" customWidth="1"/>
    <col min="16" max="16" width="4.28515625" style="2" customWidth="1"/>
    <col min="17" max="17" width="3.85546875" style="2" customWidth="1"/>
    <col min="18" max="18" width="8.28515625" style="2" customWidth="1"/>
    <col min="19" max="19" width="4.140625" style="2" customWidth="1"/>
    <col min="20" max="20" width="3.42578125" style="2" customWidth="1"/>
    <col min="21" max="21" width="8" style="2" customWidth="1"/>
    <col min="22" max="22" width="3.85546875" style="2" customWidth="1"/>
    <col min="23" max="23" width="3.140625" style="2" customWidth="1"/>
    <col min="24" max="24" width="7.85546875" style="2" customWidth="1"/>
    <col min="25" max="25" width="3.7109375" style="2" customWidth="1"/>
    <col min="26" max="26" width="3.42578125" style="2" customWidth="1"/>
    <col min="27" max="27" width="8.42578125" style="2" customWidth="1"/>
    <col min="28" max="28" width="5.42578125" style="2" customWidth="1"/>
    <col min="29" max="29" width="3.42578125" style="2" customWidth="1"/>
    <col min="30" max="30" width="8.42578125" style="2" customWidth="1"/>
    <col min="31" max="31" width="3.7109375" style="2" customWidth="1"/>
    <col min="32" max="32" width="3.140625" style="2" customWidth="1"/>
    <col min="33" max="33" width="8.42578125" style="2" customWidth="1"/>
    <col min="34" max="34" width="5.140625" style="2" customWidth="1"/>
    <col min="35" max="35" width="4.28515625" style="2" customWidth="1"/>
    <col min="36" max="36" width="8.140625" style="2" customWidth="1"/>
    <col min="37" max="37" width="4.28515625" style="2" customWidth="1"/>
    <col min="38" max="38" width="4.140625" style="2" customWidth="1"/>
    <col min="39" max="39" width="8.140625" style="2" customWidth="1"/>
    <col min="40" max="40" width="5.140625" style="2" customWidth="1"/>
    <col min="41" max="41" width="2.42578125" style="2" customWidth="1"/>
    <col min="42" max="42" width="7.28515625" style="2" customWidth="1"/>
    <col min="43" max="43" width="5.42578125" style="2" customWidth="1"/>
    <col min="44" max="44" width="3" style="2" customWidth="1"/>
    <col min="45" max="45" width="8.42578125" style="2" customWidth="1"/>
    <col min="46" max="46" width="7.140625" style="2" customWidth="1"/>
    <col min="47" max="47" width="5.28515625" style="2" customWidth="1"/>
    <col min="48" max="48" width="8.42578125" style="2" customWidth="1"/>
    <col min="49" max="49" width="4.85546875" style="2" bestFit="1" customWidth="1"/>
    <col min="50" max="50" width="3.42578125" style="2" customWidth="1"/>
    <col min="51" max="51" width="7.7109375" style="2" customWidth="1"/>
    <col min="52" max="52" width="5.85546875" style="2" customWidth="1"/>
    <col min="53" max="53" width="4.28515625" style="2" customWidth="1"/>
    <col min="54" max="54" width="8" style="2" customWidth="1"/>
    <col min="55" max="55" width="5.42578125" style="2" bestFit="1" customWidth="1"/>
    <col min="56" max="56" width="3.140625" style="2" customWidth="1"/>
    <col min="57" max="57" width="11.42578125" style="2" customWidth="1"/>
    <col min="58" max="58" width="4" style="2" customWidth="1"/>
    <col min="59" max="59" width="4.140625" style="2" customWidth="1"/>
    <col min="60" max="60" width="9.28515625" style="2" customWidth="1"/>
    <col min="61" max="61" width="5.42578125" style="2" customWidth="1"/>
    <col min="62" max="62" width="3.42578125" style="2" customWidth="1"/>
    <col min="63" max="63" width="8.42578125" style="2" customWidth="1"/>
    <col min="64" max="64" width="7.140625" style="2" customWidth="1"/>
    <col min="65" max="65" width="3.85546875" style="2" customWidth="1"/>
    <col min="66" max="66" width="7.42578125" style="2" customWidth="1"/>
    <col min="67" max="69" width="0" style="2" hidden="1" customWidth="1"/>
    <col min="70" max="256" width="11.42578125" style="2" customWidth="1"/>
    <col min="257" max="16384" width="9.140625" style="2"/>
  </cols>
  <sheetData>
    <row r="1" spans="1:69" ht="15" customHeight="1" x14ac:dyDescent="0.2">
      <c r="A1" s="479" t="s">
        <v>36</v>
      </c>
      <c r="B1" s="480"/>
      <c r="C1" s="481"/>
      <c r="D1" s="479" t="s">
        <v>35</v>
      </c>
      <c r="E1" s="480"/>
      <c r="F1" s="481"/>
      <c r="G1" s="479" t="s">
        <v>34</v>
      </c>
      <c r="H1" s="480"/>
      <c r="I1" s="481"/>
      <c r="J1" s="479" t="s">
        <v>268</v>
      </c>
      <c r="K1" s="480"/>
      <c r="L1" s="481"/>
      <c r="M1" s="479" t="s">
        <v>33</v>
      </c>
      <c r="N1" s="480"/>
      <c r="O1" s="481"/>
      <c r="P1" s="479" t="s">
        <v>32</v>
      </c>
      <c r="Q1" s="480"/>
      <c r="R1" s="481"/>
      <c r="S1" s="479" t="s">
        <v>31</v>
      </c>
      <c r="T1" s="480"/>
      <c r="U1" s="481"/>
      <c r="V1" s="479" t="s">
        <v>30</v>
      </c>
      <c r="W1" s="480"/>
      <c r="X1" s="481"/>
      <c r="Y1" s="479" t="s">
        <v>29</v>
      </c>
      <c r="Z1" s="480"/>
      <c r="AA1" s="481"/>
      <c r="AB1" s="479" t="s">
        <v>28</v>
      </c>
      <c r="AC1" s="480"/>
      <c r="AD1" s="481"/>
      <c r="AE1" s="479" t="s">
        <v>27</v>
      </c>
      <c r="AF1" s="480"/>
      <c r="AG1" s="481"/>
      <c r="AH1" s="479" t="s">
        <v>26</v>
      </c>
      <c r="AI1" s="480"/>
      <c r="AJ1" s="481"/>
      <c r="AK1" s="479" t="s">
        <v>25</v>
      </c>
      <c r="AL1" s="480"/>
      <c r="AM1" s="481"/>
      <c r="AN1" s="479" t="s">
        <v>24</v>
      </c>
      <c r="AO1" s="480"/>
      <c r="AP1" s="481"/>
      <c r="AQ1" s="479" t="s">
        <v>23</v>
      </c>
      <c r="AR1" s="480"/>
      <c r="AS1" s="481"/>
      <c r="AT1" s="479" t="s">
        <v>22</v>
      </c>
      <c r="AU1" s="480"/>
      <c r="AV1" s="481"/>
      <c r="AW1" s="479" t="s">
        <v>21</v>
      </c>
      <c r="AX1" s="480"/>
      <c r="AY1" s="481"/>
      <c r="AZ1" s="479" t="s">
        <v>20</v>
      </c>
      <c r="BA1" s="480"/>
      <c r="BB1" s="481"/>
      <c r="BC1" s="479" t="s">
        <v>19</v>
      </c>
      <c r="BD1" s="480"/>
      <c r="BE1" s="481"/>
      <c r="BF1" s="479" t="s">
        <v>18</v>
      </c>
      <c r="BG1" s="480"/>
      <c r="BH1" s="481"/>
      <c r="BI1" s="479" t="s">
        <v>17</v>
      </c>
      <c r="BJ1" s="480"/>
      <c r="BK1" s="481"/>
      <c r="BL1" s="479" t="s">
        <v>16</v>
      </c>
      <c r="BM1" s="480"/>
      <c r="BN1" s="481"/>
      <c r="BO1" s="479" t="s">
        <v>15</v>
      </c>
      <c r="BP1" s="480"/>
      <c r="BQ1" s="481"/>
    </row>
    <row r="2" spans="1:69" x14ac:dyDescent="0.2">
      <c r="A2" s="482"/>
      <c r="B2" s="483"/>
      <c r="C2" s="484"/>
      <c r="D2" s="482"/>
      <c r="E2" s="483"/>
      <c r="F2" s="484"/>
      <c r="G2" s="482"/>
      <c r="H2" s="483"/>
      <c r="I2" s="484"/>
      <c r="J2" s="482"/>
      <c r="K2" s="483"/>
      <c r="L2" s="484"/>
      <c r="M2" s="482"/>
      <c r="N2" s="483"/>
      <c r="O2" s="484"/>
      <c r="P2" s="482"/>
      <c r="Q2" s="483"/>
      <c r="R2" s="484"/>
      <c r="S2" s="482"/>
      <c r="T2" s="483"/>
      <c r="U2" s="484"/>
      <c r="V2" s="482"/>
      <c r="W2" s="483"/>
      <c r="X2" s="484"/>
      <c r="Y2" s="482"/>
      <c r="Z2" s="483"/>
      <c r="AA2" s="484"/>
      <c r="AB2" s="482"/>
      <c r="AC2" s="483"/>
      <c r="AD2" s="484"/>
      <c r="AE2" s="482"/>
      <c r="AF2" s="483"/>
      <c r="AG2" s="484"/>
      <c r="AH2" s="482"/>
      <c r="AI2" s="483"/>
      <c r="AJ2" s="484"/>
      <c r="AK2" s="482"/>
      <c r="AL2" s="483"/>
      <c r="AM2" s="484"/>
      <c r="AN2" s="482"/>
      <c r="AO2" s="483"/>
      <c r="AP2" s="484"/>
      <c r="AQ2" s="482"/>
      <c r="AR2" s="483"/>
      <c r="AS2" s="484"/>
      <c r="AT2" s="482"/>
      <c r="AU2" s="483"/>
      <c r="AV2" s="484"/>
      <c r="AW2" s="482"/>
      <c r="AX2" s="483"/>
      <c r="AY2" s="484"/>
      <c r="AZ2" s="482"/>
      <c r="BA2" s="483"/>
      <c r="BB2" s="484"/>
      <c r="BC2" s="482"/>
      <c r="BD2" s="483"/>
      <c r="BE2" s="484"/>
      <c r="BF2" s="482"/>
      <c r="BG2" s="483"/>
      <c r="BH2" s="484"/>
      <c r="BI2" s="482"/>
      <c r="BJ2" s="483"/>
      <c r="BK2" s="484"/>
      <c r="BL2" s="482"/>
      <c r="BM2" s="483"/>
      <c r="BN2" s="484"/>
      <c r="BO2" s="482"/>
      <c r="BP2" s="483"/>
      <c r="BQ2" s="484"/>
    </row>
    <row r="3" spans="1:69" x14ac:dyDescent="0.2">
      <c r="A3" s="177"/>
      <c r="B3" s="178"/>
      <c r="C3" s="178"/>
      <c r="D3" s="177"/>
      <c r="E3" s="178"/>
      <c r="F3" s="179"/>
      <c r="G3" s="178"/>
      <c r="H3" s="178"/>
      <c r="I3" s="179"/>
      <c r="J3" s="178"/>
      <c r="K3" s="178"/>
      <c r="L3" s="179"/>
      <c r="M3" s="178"/>
      <c r="N3" s="178"/>
      <c r="O3" s="179"/>
      <c r="P3" s="177"/>
      <c r="Q3" s="178"/>
      <c r="R3" s="179"/>
      <c r="S3" s="177"/>
      <c r="T3" s="178"/>
      <c r="U3" s="179"/>
      <c r="V3" s="177"/>
      <c r="W3" s="178"/>
      <c r="X3" s="179"/>
      <c r="Y3" s="177"/>
      <c r="Z3" s="178"/>
      <c r="AA3" s="179"/>
      <c r="AB3" s="177"/>
      <c r="AC3" s="178"/>
      <c r="AD3" s="179"/>
      <c r="AE3" s="178"/>
      <c r="AF3" s="178"/>
      <c r="AG3" s="178"/>
      <c r="AH3" s="177"/>
      <c r="AI3" s="178"/>
      <c r="AJ3" s="179"/>
      <c r="AK3" s="178"/>
      <c r="AL3" s="178"/>
      <c r="AM3" s="178"/>
      <c r="AN3" s="177"/>
      <c r="AO3" s="178"/>
      <c r="AP3" s="179"/>
      <c r="AQ3" s="178"/>
      <c r="AR3" s="178"/>
      <c r="AS3" s="178"/>
      <c r="AT3" s="177"/>
      <c r="AU3" s="178"/>
      <c r="AV3" s="179"/>
      <c r="AW3" s="178"/>
      <c r="AX3" s="178"/>
      <c r="AY3" s="178"/>
      <c r="AZ3" s="177"/>
      <c r="BA3" s="178"/>
      <c r="BB3" s="179"/>
      <c r="BC3" s="178"/>
      <c r="BD3" s="287"/>
      <c r="BE3" s="178"/>
      <c r="BF3" s="177"/>
      <c r="BG3" s="178"/>
      <c r="BH3" s="179"/>
      <c r="BI3" s="177"/>
      <c r="BJ3" s="178"/>
      <c r="BK3" s="179"/>
      <c r="BL3" s="177"/>
      <c r="BM3" s="178"/>
      <c r="BN3" s="179"/>
      <c r="BO3" s="180"/>
      <c r="BP3" s="181"/>
      <c r="BQ3" s="182"/>
    </row>
    <row r="4" spans="1:69" x14ac:dyDescent="0.2">
      <c r="A4" s="180" t="str">
        <f>A$1</f>
        <v>HAU1</v>
      </c>
      <c r="B4" s="181">
        <v>0</v>
      </c>
      <c r="C4" s="183">
        <v>14703.88</v>
      </c>
      <c r="D4" s="180" t="str">
        <f>D$1</f>
        <v>HAU2</v>
      </c>
      <c r="E4" s="181">
        <v>0</v>
      </c>
      <c r="F4" s="184">
        <v>15323.62</v>
      </c>
      <c r="G4" s="180" t="str">
        <f>G$1</f>
        <v>HAU3</v>
      </c>
      <c r="H4" s="181">
        <v>0</v>
      </c>
      <c r="I4" s="184">
        <v>15943.35</v>
      </c>
      <c r="J4" s="180" t="str">
        <f>J$1</f>
        <v>HAU4</v>
      </c>
      <c r="K4" s="181">
        <v>0</v>
      </c>
      <c r="L4" s="184">
        <v>16573.349999999999</v>
      </c>
      <c r="M4" s="180" t="str">
        <f>M$1</f>
        <v>B1</v>
      </c>
      <c r="N4" s="181">
        <v>0</v>
      </c>
      <c r="O4" s="184">
        <v>15968.14</v>
      </c>
      <c r="P4" s="180" t="str">
        <f>P$1</f>
        <v>B2</v>
      </c>
      <c r="Q4" s="181">
        <v>0</v>
      </c>
      <c r="R4" s="184">
        <v>16742.13</v>
      </c>
      <c r="S4" s="180" t="str">
        <f>S$1</f>
        <v>B3</v>
      </c>
      <c r="T4" s="181">
        <v>0</v>
      </c>
      <c r="U4" s="184">
        <v>16761.400000000001</v>
      </c>
      <c r="V4" s="180" t="str">
        <f>V$1</f>
        <v>B4</v>
      </c>
      <c r="W4" s="181">
        <v>0</v>
      </c>
      <c r="X4" s="184">
        <v>21116</v>
      </c>
      <c r="Y4" s="180" t="str">
        <f>Y$1</f>
        <v>B5</v>
      </c>
      <c r="Z4" s="181">
        <v>0</v>
      </c>
      <c r="AA4" s="184">
        <v>22816</v>
      </c>
      <c r="AB4" s="180" t="str">
        <f>AB$1</f>
        <v>M1.1</v>
      </c>
      <c r="AC4" s="181">
        <v>0</v>
      </c>
      <c r="AD4" s="184">
        <v>17802.55</v>
      </c>
      <c r="AE4" s="180" t="str">
        <f>AE$1</f>
        <v>M1.2</v>
      </c>
      <c r="AF4" s="288">
        <v>0</v>
      </c>
      <c r="AG4" s="184">
        <v>19364.28</v>
      </c>
      <c r="AH4" s="180" t="str">
        <f>AH$1</f>
        <v>M2.1</v>
      </c>
      <c r="AI4" s="181">
        <v>0</v>
      </c>
      <c r="AJ4" s="184">
        <v>19537.810000000001</v>
      </c>
      <c r="AK4" s="180" t="str">
        <f>AK$1</f>
        <v>M2.2</v>
      </c>
      <c r="AL4" s="288">
        <v>0</v>
      </c>
      <c r="AM4" s="184">
        <v>21255.71</v>
      </c>
      <c r="AN4" s="180" t="str">
        <f>AN$1</f>
        <v>M3.1</v>
      </c>
      <c r="AO4" s="181">
        <v>0</v>
      </c>
      <c r="AP4" s="184">
        <v>19785.7</v>
      </c>
      <c r="AQ4" s="180" t="str">
        <f>AQ$1</f>
        <v>M3.2</v>
      </c>
      <c r="AR4" s="288">
        <v>0</v>
      </c>
      <c r="AS4" s="184">
        <v>21525.91</v>
      </c>
      <c r="AT4" s="180" t="str">
        <f>AT$1</f>
        <v>M4.1</v>
      </c>
      <c r="AU4" s="181">
        <v>0</v>
      </c>
      <c r="AV4" s="184">
        <v>20033.59</v>
      </c>
      <c r="AW4" s="180" t="str">
        <f>AW$1</f>
        <v>M4.2</v>
      </c>
      <c r="AX4" s="288">
        <v>0</v>
      </c>
      <c r="AY4" s="184">
        <v>21796.12</v>
      </c>
      <c r="AZ4" s="180" t="str">
        <f>AZ$1</f>
        <v>M5.1</v>
      </c>
      <c r="BA4" s="181">
        <v>0</v>
      </c>
      <c r="BB4" s="184">
        <v>26746</v>
      </c>
      <c r="BC4" s="180" t="str">
        <f>BC$1</f>
        <v>M5.2</v>
      </c>
      <c r="BD4" s="288">
        <v>0</v>
      </c>
      <c r="BE4" s="183">
        <v>22246.12</v>
      </c>
      <c r="BF4" s="180" t="str">
        <f>BF$1</f>
        <v>M6</v>
      </c>
      <c r="BG4" s="181">
        <v>0</v>
      </c>
      <c r="BH4" s="184">
        <v>20327.27</v>
      </c>
      <c r="BI4" s="180" t="str">
        <f>BI$1</f>
        <v>M7</v>
      </c>
      <c r="BJ4" s="181">
        <v>0</v>
      </c>
      <c r="BK4" s="184">
        <v>23054.1</v>
      </c>
      <c r="BL4" s="180" t="str">
        <f>BL$1</f>
        <v>M7bis</v>
      </c>
      <c r="BM4" s="181">
        <v>0</v>
      </c>
      <c r="BN4" s="184">
        <v>23797.78</v>
      </c>
      <c r="BO4" s="180" t="s">
        <v>15</v>
      </c>
      <c r="BP4" s="181">
        <v>0</v>
      </c>
      <c r="BQ4" s="182">
        <v>1425000</v>
      </c>
    </row>
    <row r="5" spans="1:69" x14ac:dyDescent="0.2">
      <c r="A5" s="180" t="str">
        <f t="shared" ref="A5:A30" si="0">A$1</f>
        <v>HAU1</v>
      </c>
      <c r="B5" s="181">
        <v>1</v>
      </c>
      <c r="C5" s="183">
        <v>14951.78</v>
      </c>
      <c r="D5" s="180" t="str">
        <f t="shared" ref="D5:D30" si="1">D$1</f>
        <v>HAU2</v>
      </c>
      <c r="E5" s="181">
        <v>1</v>
      </c>
      <c r="F5" s="184">
        <v>15596.31</v>
      </c>
      <c r="G5" s="180" t="str">
        <f t="shared" ref="G5:G30" si="2">G$1</f>
        <v>HAU3</v>
      </c>
      <c r="H5" s="181">
        <v>1</v>
      </c>
      <c r="I5" s="184">
        <v>16470.41</v>
      </c>
      <c r="J5" s="180" t="str">
        <f t="shared" ref="J5:J30" si="3">J$1</f>
        <v>HAU4</v>
      </c>
      <c r="K5" s="181">
        <v>1</v>
      </c>
      <c r="L5" s="184">
        <v>16920.41</v>
      </c>
      <c r="M5" s="180" t="str">
        <f t="shared" ref="M5:M30" si="4">M$1</f>
        <v>B1</v>
      </c>
      <c r="N5" s="181">
        <v>1</v>
      </c>
      <c r="O5" s="184">
        <v>16495.2</v>
      </c>
      <c r="P5" s="180" t="str">
        <f t="shared" ref="P5:P30" si="5">P$1</f>
        <v>B2</v>
      </c>
      <c r="Q5" s="181">
        <v>1</v>
      </c>
      <c r="R5" s="184">
        <v>17096.060000000001</v>
      </c>
      <c r="S5" s="180" t="str">
        <f t="shared" ref="S5:S30" si="6">S$1</f>
        <v>B3</v>
      </c>
      <c r="T5" s="181">
        <v>1</v>
      </c>
      <c r="U5" s="184">
        <v>17182.82</v>
      </c>
      <c r="V5" s="180" t="str">
        <f t="shared" ref="V5:V34" si="7">V$1</f>
        <v>B4</v>
      </c>
      <c r="W5" s="181">
        <v>1</v>
      </c>
      <c r="X5" s="184">
        <v>21316</v>
      </c>
      <c r="Y5" s="180" t="str">
        <f t="shared" ref="Y5:Y34" si="8">Y$1</f>
        <v>B5</v>
      </c>
      <c r="Z5" s="181">
        <v>1</v>
      </c>
      <c r="AA5" s="184">
        <v>23016</v>
      </c>
      <c r="AB5" s="180" t="str">
        <f t="shared" ref="AB5:AB30" si="9">AB$1</f>
        <v>M1.1</v>
      </c>
      <c r="AC5" s="181">
        <v>1</v>
      </c>
      <c r="AD5" s="184">
        <v>18518.009999999998</v>
      </c>
      <c r="AE5" s="180" t="str">
        <f t="shared" ref="AE5:AE30" si="10">AE$1</f>
        <v>M1.2</v>
      </c>
      <c r="AF5" s="288">
        <v>1</v>
      </c>
      <c r="AG5" s="184">
        <v>19947.93</v>
      </c>
      <c r="AH5" s="180" t="str">
        <f t="shared" ref="AH5:AH30" si="11">AH$1</f>
        <v>M2.1</v>
      </c>
      <c r="AI5" s="181">
        <v>1</v>
      </c>
      <c r="AJ5" s="184">
        <v>20103.009999999998</v>
      </c>
      <c r="AK5" s="180" t="str">
        <f t="shared" ref="AK5:AK30" si="12">AK$1</f>
        <v>M2.2</v>
      </c>
      <c r="AL5" s="288">
        <v>1</v>
      </c>
      <c r="AM5" s="184">
        <v>21871.78</v>
      </c>
      <c r="AN5" s="180" t="str">
        <f t="shared" ref="AN5:AN30" si="13">AN$1</f>
        <v>M3.1</v>
      </c>
      <c r="AO5" s="181">
        <v>1</v>
      </c>
      <c r="AP5" s="184">
        <v>20378.169999999998</v>
      </c>
      <c r="AQ5" s="180" t="str">
        <f t="shared" ref="AQ5:AQ30" si="14">AQ$1</f>
        <v>M3.2</v>
      </c>
      <c r="AR5" s="288">
        <v>1</v>
      </c>
      <c r="AS5" s="184">
        <v>22171.7</v>
      </c>
      <c r="AT5" s="180" t="str">
        <f t="shared" ref="AT5:AT34" si="15">AT$1</f>
        <v>M4.1</v>
      </c>
      <c r="AU5" s="181">
        <v>1</v>
      </c>
      <c r="AV5" s="184">
        <v>20678.12</v>
      </c>
      <c r="AW5" s="180" t="str">
        <f t="shared" ref="AW5:AW30" si="16">AW$1</f>
        <v>M4.2</v>
      </c>
      <c r="AX5" s="288">
        <v>1</v>
      </c>
      <c r="AY5" s="184">
        <v>22498.66</v>
      </c>
      <c r="AZ5" s="180" t="str">
        <f t="shared" ref="AZ5:AZ34" si="17">AZ$1</f>
        <v>M5.1</v>
      </c>
      <c r="BA5" s="181">
        <v>1</v>
      </c>
      <c r="BB5" s="184">
        <v>27016</v>
      </c>
      <c r="BC5" s="180" t="str">
        <f t="shared" ref="BC5:BC30" si="18">BC$1</f>
        <v>M5.2</v>
      </c>
      <c r="BD5" s="288">
        <v>1</v>
      </c>
      <c r="BE5" s="183">
        <v>22948.66</v>
      </c>
      <c r="BF5" s="180" t="str">
        <f t="shared" ref="BF5:BF30" si="19">BF$1</f>
        <v>M6</v>
      </c>
      <c r="BG5" s="181">
        <v>1</v>
      </c>
      <c r="BH5" s="184">
        <v>20959.400000000001</v>
      </c>
      <c r="BI5" s="180" t="str">
        <f t="shared" ref="BI5:BI30" si="20">BI$1</f>
        <v>M7</v>
      </c>
      <c r="BJ5" s="181">
        <v>1</v>
      </c>
      <c r="BK5" s="184">
        <v>23636.65</v>
      </c>
      <c r="BL5" s="180" t="str">
        <f t="shared" ref="BL5:BL30" si="21">BL$1</f>
        <v>M7bis</v>
      </c>
      <c r="BM5" s="181">
        <v>1</v>
      </c>
      <c r="BN5" s="184">
        <v>24392.73</v>
      </c>
      <c r="BO5" s="180" t="s">
        <v>15</v>
      </c>
      <c r="BP5" s="181">
        <v>1</v>
      </c>
      <c r="BQ5" s="182">
        <v>1466000</v>
      </c>
    </row>
    <row r="6" spans="1:69" x14ac:dyDescent="0.2">
      <c r="A6" s="180" t="str">
        <f t="shared" si="0"/>
        <v>HAU1</v>
      </c>
      <c r="B6" s="181">
        <v>2</v>
      </c>
      <c r="C6" s="183">
        <v>15199.68</v>
      </c>
      <c r="D6" s="180" t="str">
        <f t="shared" si="1"/>
        <v>HAU2</v>
      </c>
      <c r="E6" s="181">
        <v>2</v>
      </c>
      <c r="F6" s="184">
        <v>15869</v>
      </c>
      <c r="G6" s="180" t="str">
        <f t="shared" si="2"/>
        <v>HAU3</v>
      </c>
      <c r="H6" s="181">
        <v>2</v>
      </c>
      <c r="I6" s="184">
        <v>16736.560000000001</v>
      </c>
      <c r="J6" s="180" t="str">
        <f t="shared" si="3"/>
        <v>HAU4</v>
      </c>
      <c r="K6" s="181">
        <v>2</v>
      </c>
      <c r="L6" s="184">
        <v>17186.560000000001</v>
      </c>
      <c r="M6" s="180" t="str">
        <f t="shared" si="4"/>
        <v>B1</v>
      </c>
      <c r="N6" s="181">
        <v>2</v>
      </c>
      <c r="O6" s="184">
        <v>16738.419999999998</v>
      </c>
      <c r="P6" s="180" t="str">
        <f t="shared" si="5"/>
        <v>B2</v>
      </c>
      <c r="Q6" s="181">
        <v>2</v>
      </c>
      <c r="R6" s="184">
        <v>17480.3</v>
      </c>
      <c r="S6" s="180" t="str">
        <f t="shared" si="6"/>
        <v>B3</v>
      </c>
      <c r="T6" s="181">
        <v>2</v>
      </c>
      <c r="U6" s="184">
        <v>17604.240000000002</v>
      </c>
      <c r="V6" s="180" t="str">
        <f t="shared" si="7"/>
        <v>B4</v>
      </c>
      <c r="W6" s="181">
        <v>2</v>
      </c>
      <c r="X6" s="184">
        <v>21516</v>
      </c>
      <c r="Y6" s="180" t="str">
        <f t="shared" si="8"/>
        <v>B5</v>
      </c>
      <c r="Z6" s="181">
        <v>2</v>
      </c>
      <c r="AA6" s="184">
        <v>23216</v>
      </c>
      <c r="AB6" s="180" t="str">
        <f t="shared" si="9"/>
        <v>M1.1</v>
      </c>
      <c r="AC6" s="181">
        <v>2</v>
      </c>
      <c r="AD6" s="184">
        <v>18967.009999999998</v>
      </c>
      <c r="AE6" s="180" t="str">
        <f t="shared" si="10"/>
        <v>M1.2</v>
      </c>
      <c r="AF6" s="288">
        <v>2</v>
      </c>
      <c r="AG6" s="184">
        <v>20531.580000000002</v>
      </c>
      <c r="AH6" s="180" t="str">
        <f t="shared" si="11"/>
        <v>M2.1</v>
      </c>
      <c r="AI6" s="181">
        <v>2</v>
      </c>
      <c r="AJ6" s="184">
        <v>20668.21</v>
      </c>
      <c r="AK6" s="180" t="str">
        <f t="shared" si="12"/>
        <v>M2.2</v>
      </c>
      <c r="AL6" s="288">
        <v>2</v>
      </c>
      <c r="AM6" s="184">
        <v>22487.85</v>
      </c>
      <c r="AN6" s="180" t="str">
        <f t="shared" si="13"/>
        <v>M3.1</v>
      </c>
      <c r="AO6" s="181">
        <v>2</v>
      </c>
      <c r="AP6" s="184">
        <v>20970.64</v>
      </c>
      <c r="AQ6" s="180" t="str">
        <f t="shared" si="14"/>
        <v>M3.2</v>
      </c>
      <c r="AR6" s="288">
        <v>2</v>
      </c>
      <c r="AS6" s="184">
        <v>22817.49</v>
      </c>
      <c r="AT6" s="180" t="str">
        <f t="shared" si="15"/>
        <v>M4.1</v>
      </c>
      <c r="AU6" s="181">
        <v>2</v>
      </c>
      <c r="AV6" s="184">
        <v>21322.65</v>
      </c>
      <c r="AW6" s="180" t="str">
        <f t="shared" si="16"/>
        <v>M4.2</v>
      </c>
      <c r="AX6" s="288">
        <v>2</v>
      </c>
      <c r="AY6" s="184">
        <v>23201.200000000001</v>
      </c>
      <c r="AZ6" s="180" t="str">
        <f t="shared" si="17"/>
        <v>M5.1</v>
      </c>
      <c r="BA6" s="181">
        <v>2</v>
      </c>
      <c r="BB6" s="184">
        <v>27285</v>
      </c>
      <c r="BC6" s="180" t="str">
        <f t="shared" si="18"/>
        <v>M5.2</v>
      </c>
      <c r="BD6" s="288">
        <v>2</v>
      </c>
      <c r="BE6" s="183">
        <v>23651.200000000001</v>
      </c>
      <c r="BF6" s="180" t="str">
        <f t="shared" si="19"/>
        <v>M6</v>
      </c>
      <c r="BG6" s="181">
        <v>2</v>
      </c>
      <c r="BH6" s="184">
        <v>21591.53</v>
      </c>
      <c r="BI6" s="180" t="str">
        <f t="shared" si="20"/>
        <v>M7</v>
      </c>
      <c r="BJ6" s="181">
        <v>2</v>
      </c>
      <c r="BK6" s="184">
        <v>24219.200000000001</v>
      </c>
      <c r="BL6" s="180" t="str">
        <f t="shared" si="21"/>
        <v>M7bis</v>
      </c>
      <c r="BM6" s="181">
        <v>2</v>
      </c>
      <c r="BN6" s="184">
        <v>24987.68</v>
      </c>
      <c r="BO6" s="180" t="s">
        <v>15</v>
      </c>
      <c r="BP6" s="181">
        <v>2</v>
      </c>
      <c r="BQ6" s="182">
        <v>1505000</v>
      </c>
    </row>
    <row r="7" spans="1:69" x14ac:dyDescent="0.2">
      <c r="A7" s="180" t="str">
        <f t="shared" si="0"/>
        <v>HAU1</v>
      </c>
      <c r="B7" s="181">
        <v>3</v>
      </c>
      <c r="C7" s="183">
        <v>15447.58</v>
      </c>
      <c r="D7" s="180" t="str">
        <f t="shared" si="1"/>
        <v>HAU2</v>
      </c>
      <c r="E7" s="181">
        <v>3</v>
      </c>
      <c r="F7" s="184">
        <v>16321.69</v>
      </c>
      <c r="G7" s="180" t="str">
        <f t="shared" si="2"/>
        <v>HAU3</v>
      </c>
      <c r="H7" s="181">
        <v>3</v>
      </c>
      <c r="I7" s="184">
        <v>16984.53</v>
      </c>
      <c r="J7" s="180" t="str">
        <f t="shared" si="3"/>
        <v>HAU4</v>
      </c>
      <c r="K7" s="181">
        <v>3</v>
      </c>
      <c r="L7" s="184">
        <v>17434.53</v>
      </c>
      <c r="M7" s="180" t="str">
        <f t="shared" si="4"/>
        <v>B1</v>
      </c>
      <c r="N7" s="181">
        <v>3</v>
      </c>
      <c r="O7" s="184">
        <v>17009.32</v>
      </c>
      <c r="P7" s="180" t="str">
        <f t="shared" si="5"/>
        <v>B2</v>
      </c>
      <c r="Q7" s="181">
        <v>3</v>
      </c>
      <c r="R7" s="184">
        <v>17864.54</v>
      </c>
      <c r="S7" s="180" t="str">
        <f t="shared" si="6"/>
        <v>B3</v>
      </c>
      <c r="T7" s="181">
        <v>3</v>
      </c>
      <c r="U7" s="184">
        <v>18025.66</v>
      </c>
      <c r="V7" s="180" t="str">
        <f t="shared" si="7"/>
        <v>B4</v>
      </c>
      <c r="W7" s="181">
        <v>3</v>
      </c>
      <c r="X7" s="184">
        <v>21715</v>
      </c>
      <c r="Y7" s="180" t="str">
        <f t="shared" si="8"/>
        <v>B5</v>
      </c>
      <c r="Z7" s="181">
        <v>3</v>
      </c>
      <c r="AA7" s="184">
        <v>23415</v>
      </c>
      <c r="AB7" s="180" t="str">
        <f t="shared" si="9"/>
        <v>M1.1</v>
      </c>
      <c r="AC7" s="181">
        <v>3</v>
      </c>
      <c r="AD7" s="184">
        <v>19408.93</v>
      </c>
      <c r="AE7" s="180" t="str">
        <f t="shared" si="10"/>
        <v>M1.2</v>
      </c>
      <c r="AF7" s="288">
        <v>3</v>
      </c>
      <c r="AG7" s="184">
        <v>21115.23</v>
      </c>
      <c r="AH7" s="180" t="str">
        <f t="shared" si="11"/>
        <v>M2.1</v>
      </c>
      <c r="AI7" s="181">
        <v>3</v>
      </c>
      <c r="AJ7" s="184">
        <v>21233.41</v>
      </c>
      <c r="AK7" s="180" t="str">
        <f t="shared" si="12"/>
        <v>M2.2</v>
      </c>
      <c r="AL7" s="288">
        <v>3</v>
      </c>
      <c r="AM7" s="184">
        <v>23103.919999999998</v>
      </c>
      <c r="AN7" s="180" t="str">
        <f t="shared" si="13"/>
        <v>M3.1</v>
      </c>
      <c r="AO7" s="181">
        <v>3</v>
      </c>
      <c r="AP7" s="184">
        <v>21563.11</v>
      </c>
      <c r="AQ7" s="180" t="str">
        <f t="shared" si="14"/>
        <v>M3.2</v>
      </c>
      <c r="AR7" s="288">
        <v>3</v>
      </c>
      <c r="AS7" s="184">
        <v>23463.279999999999</v>
      </c>
      <c r="AT7" s="180" t="str">
        <f t="shared" si="15"/>
        <v>M4.1</v>
      </c>
      <c r="AU7" s="181">
        <v>3</v>
      </c>
      <c r="AV7" s="184">
        <v>21967.18</v>
      </c>
      <c r="AW7" s="180" t="str">
        <f t="shared" si="16"/>
        <v>M4.2</v>
      </c>
      <c r="AX7" s="288">
        <v>3</v>
      </c>
      <c r="AY7" s="184">
        <v>23903.74</v>
      </c>
      <c r="AZ7" s="180" t="str">
        <f t="shared" si="17"/>
        <v>M5.1</v>
      </c>
      <c r="BA7" s="181">
        <v>3</v>
      </c>
      <c r="BB7" s="184">
        <v>27555</v>
      </c>
      <c r="BC7" s="180" t="str">
        <f t="shared" si="18"/>
        <v>M5.2</v>
      </c>
      <c r="BD7" s="288">
        <v>3</v>
      </c>
      <c r="BE7" s="183">
        <v>24353.74</v>
      </c>
      <c r="BF7" s="180" t="str">
        <f t="shared" si="19"/>
        <v>M6</v>
      </c>
      <c r="BG7" s="181">
        <v>3</v>
      </c>
      <c r="BH7" s="184">
        <v>22211.27</v>
      </c>
      <c r="BI7" s="180" t="str">
        <f t="shared" si="20"/>
        <v>M7</v>
      </c>
      <c r="BJ7" s="181">
        <v>3</v>
      </c>
      <c r="BK7" s="184">
        <v>24801.75</v>
      </c>
      <c r="BL7" s="180" t="str">
        <f t="shared" si="21"/>
        <v>M7bis</v>
      </c>
      <c r="BM7" s="181">
        <v>3</v>
      </c>
      <c r="BN7" s="184">
        <v>25582.63</v>
      </c>
      <c r="BO7" s="180" t="s">
        <v>15</v>
      </c>
      <c r="BP7" s="181">
        <v>3</v>
      </c>
      <c r="BQ7" s="182">
        <v>1544000</v>
      </c>
    </row>
    <row r="8" spans="1:69" x14ac:dyDescent="0.2">
      <c r="A8" s="180" t="str">
        <f t="shared" si="0"/>
        <v>HAU1</v>
      </c>
      <c r="B8" s="181">
        <v>4</v>
      </c>
      <c r="C8" s="183">
        <v>15695.48</v>
      </c>
      <c r="D8" s="180" t="str">
        <f t="shared" si="1"/>
        <v>HAU2</v>
      </c>
      <c r="E8" s="181">
        <v>4</v>
      </c>
      <c r="F8" s="184">
        <v>16594.38</v>
      </c>
      <c r="G8" s="180" t="str">
        <f t="shared" si="2"/>
        <v>HAU3</v>
      </c>
      <c r="H8" s="181">
        <v>4</v>
      </c>
      <c r="I8" s="184">
        <v>17331.59</v>
      </c>
      <c r="J8" s="180" t="str">
        <f t="shared" si="3"/>
        <v>HAU4</v>
      </c>
      <c r="K8" s="181">
        <v>4</v>
      </c>
      <c r="L8" s="184">
        <v>17781.59</v>
      </c>
      <c r="M8" s="180" t="str">
        <f t="shared" si="4"/>
        <v>B1</v>
      </c>
      <c r="N8" s="181">
        <v>4</v>
      </c>
      <c r="O8" s="184">
        <v>17356.38</v>
      </c>
      <c r="P8" s="180" t="str">
        <f t="shared" si="5"/>
        <v>B2</v>
      </c>
      <c r="Q8" s="181">
        <v>4</v>
      </c>
      <c r="R8" s="184">
        <v>18248.78</v>
      </c>
      <c r="S8" s="180" t="str">
        <f t="shared" si="6"/>
        <v>B3</v>
      </c>
      <c r="T8" s="181">
        <v>4</v>
      </c>
      <c r="U8" s="184">
        <v>18627.080000000002</v>
      </c>
      <c r="V8" s="180" t="str">
        <f t="shared" si="7"/>
        <v>B4</v>
      </c>
      <c r="W8" s="181">
        <v>4</v>
      </c>
      <c r="X8" s="184">
        <v>21915</v>
      </c>
      <c r="Y8" s="180" t="str">
        <f t="shared" si="8"/>
        <v>B5</v>
      </c>
      <c r="Z8" s="181">
        <v>4</v>
      </c>
      <c r="AA8" s="184">
        <v>23615</v>
      </c>
      <c r="AB8" s="180" t="str">
        <f t="shared" si="9"/>
        <v>M1.1</v>
      </c>
      <c r="AC8" s="181">
        <v>4</v>
      </c>
      <c r="AD8" s="184">
        <v>19944.39</v>
      </c>
      <c r="AE8" s="180" t="str">
        <f t="shared" si="10"/>
        <v>M1.2</v>
      </c>
      <c r="AF8" s="288">
        <v>4</v>
      </c>
      <c r="AG8" s="184">
        <v>21698.880000000001</v>
      </c>
      <c r="AH8" s="180" t="str">
        <f t="shared" si="11"/>
        <v>M2.1</v>
      </c>
      <c r="AI8" s="181">
        <v>4</v>
      </c>
      <c r="AJ8" s="184">
        <v>21798.61</v>
      </c>
      <c r="AK8" s="180" t="str">
        <f t="shared" si="12"/>
        <v>M2.2</v>
      </c>
      <c r="AL8" s="288">
        <v>4</v>
      </c>
      <c r="AM8" s="184">
        <v>23719.99</v>
      </c>
      <c r="AN8" s="180" t="str">
        <f t="shared" si="13"/>
        <v>M3.1</v>
      </c>
      <c r="AO8" s="181">
        <v>4</v>
      </c>
      <c r="AP8" s="184">
        <v>22155.58</v>
      </c>
      <c r="AQ8" s="180" t="str">
        <f t="shared" si="14"/>
        <v>M3.2</v>
      </c>
      <c r="AR8" s="288">
        <v>4</v>
      </c>
      <c r="AS8" s="184">
        <v>24109.07</v>
      </c>
      <c r="AT8" s="180" t="str">
        <f t="shared" si="15"/>
        <v>M4.1</v>
      </c>
      <c r="AU8" s="181">
        <v>4</v>
      </c>
      <c r="AV8" s="184">
        <v>22611.71</v>
      </c>
      <c r="AW8" s="180" t="str">
        <f t="shared" si="16"/>
        <v>M4.2</v>
      </c>
      <c r="AX8" s="288">
        <v>4</v>
      </c>
      <c r="AY8" s="184">
        <v>24606.28</v>
      </c>
      <c r="AZ8" s="180" t="str">
        <f t="shared" si="17"/>
        <v>M5.1</v>
      </c>
      <c r="BA8" s="181">
        <v>4</v>
      </c>
      <c r="BB8" s="184">
        <v>27825</v>
      </c>
      <c r="BC8" s="180" t="str">
        <f t="shared" si="18"/>
        <v>M5.2</v>
      </c>
      <c r="BD8" s="288">
        <v>4</v>
      </c>
      <c r="BE8" s="183">
        <v>25056.28</v>
      </c>
      <c r="BF8" s="180" t="str">
        <f t="shared" si="19"/>
        <v>M6</v>
      </c>
      <c r="BG8" s="181">
        <v>4</v>
      </c>
      <c r="BH8" s="184">
        <v>22831.01</v>
      </c>
      <c r="BI8" s="180" t="str">
        <f t="shared" si="20"/>
        <v>M7</v>
      </c>
      <c r="BJ8" s="181">
        <v>4</v>
      </c>
      <c r="BK8" s="184">
        <v>25384.3</v>
      </c>
      <c r="BL8" s="180" t="str">
        <f t="shared" si="21"/>
        <v>M7bis</v>
      </c>
      <c r="BM8" s="181">
        <v>4</v>
      </c>
      <c r="BN8" s="184">
        <v>26177.58</v>
      </c>
      <c r="BO8" s="180" t="s">
        <v>15</v>
      </c>
      <c r="BP8" s="181">
        <v>4</v>
      </c>
      <c r="BQ8" s="182">
        <v>1583000</v>
      </c>
    </row>
    <row r="9" spans="1:69" x14ac:dyDescent="0.2">
      <c r="A9" s="180" t="str">
        <f t="shared" si="0"/>
        <v>HAU1</v>
      </c>
      <c r="B9" s="181">
        <v>5</v>
      </c>
      <c r="C9" s="183">
        <v>15943.38</v>
      </c>
      <c r="D9" s="180" t="str">
        <f t="shared" si="1"/>
        <v>HAU2</v>
      </c>
      <c r="E9" s="181">
        <v>5</v>
      </c>
      <c r="F9" s="184">
        <v>16740.28</v>
      </c>
      <c r="G9" s="180" t="str">
        <f t="shared" si="2"/>
        <v>HAU3</v>
      </c>
      <c r="H9" s="181">
        <v>5</v>
      </c>
      <c r="I9" s="184">
        <v>17678.650000000001</v>
      </c>
      <c r="J9" s="180" t="str">
        <f t="shared" si="3"/>
        <v>HAU4</v>
      </c>
      <c r="K9" s="181">
        <v>5</v>
      </c>
      <c r="L9" s="184">
        <v>18128.650000000001</v>
      </c>
      <c r="M9" s="180" t="str">
        <f t="shared" si="4"/>
        <v>B1</v>
      </c>
      <c r="N9" s="181">
        <v>5</v>
      </c>
      <c r="O9" s="184">
        <v>17703.439999999999</v>
      </c>
      <c r="P9" s="180" t="str">
        <f t="shared" si="5"/>
        <v>B2</v>
      </c>
      <c r="Q9" s="181">
        <v>5</v>
      </c>
      <c r="R9" s="184">
        <v>18813.02</v>
      </c>
      <c r="S9" s="180" t="str">
        <f t="shared" si="6"/>
        <v>B3</v>
      </c>
      <c r="T9" s="181">
        <v>5</v>
      </c>
      <c r="U9" s="184">
        <v>18966.63</v>
      </c>
      <c r="V9" s="180" t="str">
        <f t="shared" si="7"/>
        <v>B4</v>
      </c>
      <c r="W9" s="181">
        <v>5</v>
      </c>
      <c r="X9" s="184">
        <v>22115</v>
      </c>
      <c r="Y9" s="180" t="str">
        <f t="shared" si="8"/>
        <v>B5</v>
      </c>
      <c r="Z9" s="181">
        <v>5</v>
      </c>
      <c r="AA9" s="184">
        <v>23815</v>
      </c>
      <c r="AB9" s="180" t="str">
        <f t="shared" si="9"/>
        <v>M1.1</v>
      </c>
      <c r="AC9" s="181">
        <v>5</v>
      </c>
      <c r="AD9" s="184">
        <v>20479.849999999999</v>
      </c>
      <c r="AE9" s="180" t="str">
        <f t="shared" si="10"/>
        <v>M1.2</v>
      </c>
      <c r="AF9" s="288">
        <v>5</v>
      </c>
      <c r="AG9" s="184">
        <v>22282.53</v>
      </c>
      <c r="AH9" s="180" t="str">
        <f t="shared" si="11"/>
        <v>M2.1</v>
      </c>
      <c r="AI9" s="181">
        <v>5</v>
      </c>
      <c r="AJ9" s="184">
        <v>22363.81</v>
      </c>
      <c r="AK9" s="180" t="str">
        <f t="shared" si="12"/>
        <v>M2.2</v>
      </c>
      <c r="AL9" s="288">
        <v>5</v>
      </c>
      <c r="AM9" s="184">
        <v>24336.06</v>
      </c>
      <c r="AN9" s="180" t="str">
        <f t="shared" si="13"/>
        <v>M3.1</v>
      </c>
      <c r="AO9" s="181">
        <v>5</v>
      </c>
      <c r="AP9" s="184">
        <v>22748.05</v>
      </c>
      <c r="AQ9" s="180" t="str">
        <f t="shared" si="14"/>
        <v>M3.2</v>
      </c>
      <c r="AR9" s="288">
        <v>5</v>
      </c>
      <c r="AS9" s="184">
        <v>24754.86</v>
      </c>
      <c r="AT9" s="180" t="str">
        <f t="shared" si="15"/>
        <v>M4.1</v>
      </c>
      <c r="AU9" s="181">
        <v>5</v>
      </c>
      <c r="AV9" s="184">
        <v>23256.240000000002</v>
      </c>
      <c r="AW9" s="180" t="str">
        <f t="shared" si="16"/>
        <v>M4.2</v>
      </c>
      <c r="AX9" s="288">
        <v>5</v>
      </c>
      <c r="AY9" s="184">
        <v>25308.82</v>
      </c>
      <c r="AZ9" s="180" t="str">
        <f t="shared" si="17"/>
        <v>M5.1</v>
      </c>
      <c r="BA9" s="181">
        <v>5</v>
      </c>
      <c r="BB9" s="184">
        <v>28094</v>
      </c>
      <c r="BC9" s="180" t="str">
        <f t="shared" si="18"/>
        <v>M5.2</v>
      </c>
      <c r="BD9" s="288">
        <v>5</v>
      </c>
      <c r="BE9" s="183">
        <v>25758.82</v>
      </c>
      <c r="BF9" s="180" t="str">
        <f t="shared" si="19"/>
        <v>M6</v>
      </c>
      <c r="BG9" s="181">
        <v>5</v>
      </c>
      <c r="BH9" s="184">
        <v>23450.75</v>
      </c>
      <c r="BI9" s="180" t="str">
        <f t="shared" si="20"/>
        <v>M7</v>
      </c>
      <c r="BJ9" s="181">
        <v>5</v>
      </c>
      <c r="BK9" s="184">
        <v>25966.85</v>
      </c>
      <c r="BL9" s="180" t="str">
        <f t="shared" si="21"/>
        <v>M7bis</v>
      </c>
      <c r="BM9" s="181">
        <v>5</v>
      </c>
      <c r="BN9" s="184">
        <v>26772.53</v>
      </c>
      <c r="BO9" s="180" t="s">
        <v>15</v>
      </c>
      <c r="BP9" s="181">
        <v>5</v>
      </c>
      <c r="BQ9" s="182">
        <v>1622000</v>
      </c>
    </row>
    <row r="10" spans="1:69" x14ac:dyDescent="0.2">
      <c r="A10" s="180" t="str">
        <f t="shared" si="0"/>
        <v>HAU1</v>
      </c>
      <c r="B10" s="181">
        <v>6</v>
      </c>
      <c r="C10" s="183">
        <v>16371.28</v>
      </c>
      <c r="D10" s="180" t="str">
        <f t="shared" si="1"/>
        <v>HAU2</v>
      </c>
      <c r="E10" s="181">
        <v>6</v>
      </c>
      <c r="F10" s="184">
        <v>16959.759999999998</v>
      </c>
      <c r="G10" s="180" t="str">
        <f t="shared" si="2"/>
        <v>HAU3</v>
      </c>
      <c r="H10" s="181">
        <v>6</v>
      </c>
      <c r="I10" s="184">
        <v>18025.71</v>
      </c>
      <c r="J10" s="180" t="str">
        <f t="shared" si="3"/>
        <v>HAU4</v>
      </c>
      <c r="K10" s="181">
        <v>6</v>
      </c>
      <c r="L10" s="184">
        <v>18655.71</v>
      </c>
      <c r="M10" s="180" t="str">
        <f t="shared" si="4"/>
        <v>B1</v>
      </c>
      <c r="N10" s="181">
        <v>6</v>
      </c>
      <c r="O10" s="184">
        <v>18050.5</v>
      </c>
      <c r="P10" s="180" t="str">
        <f t="shared" si="5"/>
        <v>B2</v>
      </c>
      <c r="Q10" s="181">
        <v>6</v>
      </c>
      <c r="R10" s="184">
        <v>19017.259999999998</v>
      </c>
      <c r="S10" s="180" t="str">
        <f t="shared" si="6"/>
        <v>B3</v>
      </c>
      <c r="T10" s="181">
        <v>6</v>
      </c>
      <c r="U10" s="184">
        <v>19289.919999999998</v>
      </c>
      <c r="V10" s="180" t="str">
        <f t="shared" si="7"/>
        <v>B4</v>
      </c>
      <c r="W10" s="181">
        <v>6</v>
      </c>
      <c r="X10" s="184">
        <v>22315</v>
      </c>
      <c r="Y10" s="180" t="str">
        <f t="shared" si="8"/>
        <v>B5</v>
      </c>
      <c r="Z10" s="181">
        <v>6</v>
      </c>
      <c r="AA10" s="184">
        <v>24015</v>
      </c>
      <c r="AB10" s="180" t="str">
        <f t="shared" si="9"/>
        <v>M1.1</v>
      </c>
      <c r="AC10" s="181">
        <v>6</v>
      </c>
      <c r="AD10" s="184">
        <v>21015.31</v>
      </c>
      <c r="AE10" s="180" t="str">
        <f t="shared" si="10"/>
        <v>M1.2</v>
      </c>
      <c r="AF10" s="288">
        <v>6</v>
      </c>
      <c r="AG10" s="184">
        <v>22866.18</v>
      </c>
      <c r="AH10" s="180" t="str">
        <f t="shared" si="11"/>
        <v>M2.1</v>
      </c>
      <c r="AI10" s="181">
        <v>6</v>
      </c>
      <c r="AJ10" s="184">
        <v>22929.01</v>
      </c>
      <c r="AK10" s="180" t="str">
        <f t="shared" si="12"/>
        <v>M2.2</v>
      </c>
      <c r="AL10" s="288">
        <v>6</v>
      </c>
      <c r="AM10" s="184">
        <v>24952.13</v>
      </c>
      <c r="AN10" s="180" t="str">
        <f t="shared" si="13"/>
        <v>M3.1</v>
      </c>
      <c r="AO10" s="181">
        <v>6</v>
      </c>
      <c r="AP10" s="184">
        <v>23340.52</v>
      </c>
      <c r="AQ10" s="180" t="str">
        <f t="shared" si="14"/>
        <v>M3.2</v>
      </c>
      <c r="AR10" s="288">
        <v>6</v>
      </c>
      <c r="AS10" s="184">
        <v>25400.65</v>
      </c>
      <c r="AT10" s="180" t="str">
        <f t="shared" si="15"/>
        <v>M4.1</v>
      </c>
      <c r="AU10" s="181">
        <v>6</v>
      </c>
      <c r="AV10" s="184">
        <v>23900.77</v>
      </c>
      <c r="AW10" s="180" t="str">
        <f t="shared" si="16"/>
        <v>M4.2</v>
      </c>
      <c r="AX10" s="288">
        <v>6</v>
      </c>
      <c r="AY10" s="184">
        <v>26011.360000000001</v>
      </c>
      <c r="AZ10" s="180" t="str">
        <f t="shared" si="17"/>
        <v>M5.1</v>
      </c>
      <c r="BA10" s="181">
        <v>6</v>
      </c>
      <c r="BB10" s="184">
        <v>28364</v>
      </c>
      <c r="BC10" s="180" t="str">
        <f t="shared" si="18"/>
        <v>M5.2</v>
      </c>
      <c r="BD10" s="288">
        <v>6</v>
      </c>
      <c r="BE10" s="183">
        <v>26461.360000000001</v>
      </c>
      <c r="BF10" s="180" t="str">
        <f t="shared" si="19"/>
        <v>M6</v>
      </c>
      <c r="BG10" s="181">
        <v>6</v>
      </c>
      <c r="BH10" s="184">
        <v>24070.49</v>
      </c>
      <c r="BI10" s="180" t="str">
        <f t="shared" si="20"/>
        <v>M7</v>
      </c>
      <c r="BJ10" s="181">
        <v>6</v>
      </c>
      <c r="BK10" s="184">
        <v>26549.4</v>
      </c>
      <c r="BL10" s="180" t="str">
        <f t="shared" si="21"/>
        <v>M7bis</v>
      </c>
      <c r="BM10" s="181">
        <v>6</v>
      </c>
      <c r="BN10" s="184">
        <v>27367.48</v>
      </c>
      <c r="BO10" s="180" t="s">
        <v>15</v>
      </c>
      <c r="BP10" s="181">
        <v>6</v>
      </c>
      <c r="BQ10" s="182">
        <v>1661000</v>
      </c>
    </row>
    <row r="11" spans="1:69" x14ac:dyDescent="0.2">
      <c r="A11" s="180" t="str">
        <f t="shared" si="0"/>
        <v>HAU1</v>
      </c>
      <c r="B11" s="181">
        <v>7</v>
      </c>
      <c r="C11" s="183">
        <v>16619.18</v>
      </c>
      <c r="D11" s="180" t="str">
        <f t="shared" si="1"/>
        <v>HAU2</v>
      </c>
      <c r="E11" s="181">
        <v>7</v>
      </c>
      <c r="F11" s="184">
        <v>17232.45</v>
      </c>
      <c r="G11" s="180" t="str">
        <f t="shared" si="2"/>
        <v>HAU3</v>
      </c>
      <c r="H11" s="181">
        <v>7</v>
      </c>
      <c r="I11" s="184">
        <v>18552.77</v>
      </c>
      <c r="J11" s="180" t="str">
        <f t="shared" si="3"/>
        <v>HAU4</v>
      </c>
      <c r="K11" s="181">
        <v>7</v>
      </c>
      <c r="L11" s="184">
        <v>19002.77</v>
      </c>
      <c r="M11" s="180" t="str">
        <f t="shared" si="4"/>
        <v>B1</v>
      </c>
      <c r="N11" s="181">
        <v>7</v>
      </c>
      <c r="O11" s="184">
        <v>18577.560000000001</v>
      </c>
      <c r="P11" s="180" t="str">
        <f t="shared" si="5"/>
        <v>B2</v>
      </c>
      <c r="Q11" s="181">
        <v>7</v>
      </c>
      <c r="R11" s="184">
        <v>19401.5</v>
      </c>
      <c r="S11" s="180" t="str">
        <f t="shared" si="6"/>
        <v>B3</v>
      </c>
      <c r="T11" s="181">
        <v>7</v>
      </c>
      <c r="U11" s="184">
        <v>19711.34</v>
      </c>
      <c r="V11" s="180" t="str">
        <f t="shared" si="7"/>
        <v>B4</v>
      </c>
      <c r="W11" s="181">
        <v>7</v>
      </c>
      <c r="X11" s="184">
        <v>22514</v>
      </c>
      <c r="Y11" s="180" t="str">
        <f t="shared" si="8"/>
        <v>B5</v>
      </c>
      <c r="Z11" s="181">
        <v>7</v>
      </c>
      <c r="AA11" s="184">
        <v>24214</v>
      </c>
      <c r="AB11" s="180" t="str">
        <f t="shared" si="9"/>
        <v>M1.1</v>
      </c>
      <c r="AC11" s="181">
        <v>7</v>
      </c>
      <c r="AD11" s="184">
        <v>21550.77</v>
      </c>
      <c r="AE11" s="180" t="str">
        <f t="shared" si="10"/>
        <v>M1.2</v>
      </c>
      <c r="AF11" s="288">
        <v>7</v>
      </c>
      <c r="AG11" s="184">
        <v>23449.83</v>
      </c>
      <c r="AH11" s="180" t="str">
        <f t="shared" si="11"/>
        <v>M2.1</v>
      </c>
      <c r="AI11" s="181">
        <v>7</v>
      </c>
      <c r="AJ11" s="184">
        <v>23494.21</v>
      </c>
      <c r="AK11" s="180" t="str">
        <f t="shared" si="12"/>
        <v>M2.2</v>
      </c>
      <c r="AL11" s="288">
        <v>7</v>
      </c>
      <c r="AM11" s="184">
        <v>25568.2</v>
      </c>
      <c r="AN11" s="180" t="str">
        <f t="shared" si="13"/>
        <v>M3.1</v>
      </c>
      <c r="AO11" s="181">
        <v>7</v>
      </c>
      <c r="AP11" s="184">
        <v>23932.99</v>
      </c>
      <c r="AQ11" s="180" t="str">
        <f t="shared" si="14"/>
        <v>M3.2</v>
      </c>
      <c r="AR11" s="288">
        <v>7</v>
      </c>
      <c r="AS11" s="184">
        <v>26046.44</v>
      </c>
      <c r="AT11" s="180" t="str">
        <f t="shared" si="15"/>
        <v>M4.1</v>
      </c>
      <c r="AU11" s="181">
        <v>7</v>
      </c>
      <c r="AV11" s="184">
        <v>24545.3</v>
      </c>
      <c r="AW11" s="180" t="str">
        <f t="shared" si="16"/>
        <v>M4.2</v>
      </c>
      <c r="AX11" s="288">
        <v>7</v>
      </c>
      <c r="AY11" s="184">
        <v>26713.9</v>
      </c>
      <c r="AZ11" s="180" t="str">
        <f t="shared" si="17"/>
        <v>M5.1</v>
      </c>
      <c r="BA11" s="181">
        <v>7</v>
      </c>
      <c r="BB11" s="184">
        <v>28634</v>
      </c>
      <c r="BC11" s="180" t="str">
        <f t="shared" si="18"/>
        <v>M5.2</v>
      </c>
      <c r="BD11" s="288">
        <v>7</v>
      </c>
      <c r="BE11" s="183">
        <v>27163.9</v>
      </c>
      <c r="BF11" s="180" t="str">
        <f t="shared" si="19"/>
        <v>M6</v>
      </c>
      <c r="BG11" s="181">
        <v>7</v>
      </c>
      <c r="BH11" s="184">
        <v>24690.23</v>
      </c>
      <c r="BI11" s="180" t="str">
        <f t="shared" si="20"/>
        <v>M7</v>
      </c>
      <c r="BJ11" s="181">
        <v>7</v>
      </c>
      <c r="BK11" s="184">
        <v>27131.95</v>
      </c>
      <c r="BL11" s="180" t="str">
        <f t="shared" si="21"/>
        <v>M7bis</v>
      </c>
      <c r="BM11" s="181">
        <v>7</v>
      </c>
      <c r="BN11" s="184">
        <v>27962.43</v>
      </c>
      <c r="BO11" s="180" t="s">
        <v>15</v>
      </c>
      <c r="BP11" s="181">
        <v>7</v>
      </c>
      <c r="BQ11" s="182">
        <v>1700000</v>
      </c>
    </row>
    <row r="12" spans="1:69" x14ac:dyDescent="0.2">
      <c r="A12" s="180" t="str">
        <f t="shared" si="0"/>
        <v>HAU1</v>
      </c>
      <c r="B12" s="181">
        <v>8</v>
      </c>
      <c r="C12" s="183">
        <v>16740.28</v>
      </c>
      <c r="D12" s="180" t="str">
        <f t="shared" si="1"/>
        <v>HAU2</v>
      </c>
      <c r="E12" s="181">
        <v>8</v>
      </c>
      <c r="F12" s="184">
        <v>17505.14</v>
      </c>
      <c r="G12" s="180" t="str">
        <f t="shared" si="2"/>
        <v>HAU3</v>
      </c>
      <c r="H12" s="181">
        <v>8</v>
      </c>
      <c r="I12" s="184">
        <v>18899.830000000002</v>
      </c>
      <c r="J12" s="180" t="str">
        <f t="shared" si="3"/>
        <v>HAU4</v>
      </c>
      <c r="K12" s="181">
        <v>8</v>
      </c>
      <c r="L12" s="184">
        <v>19349.830000000002</v>
      </c>
      <c r="M12" s="180" t="str">
        <f t="shared" si="4"/>
        <v>B1</v>
      </c>
      <c r="N12" s="181">
        <v>8</v>
      </c>
      <c r="O12" s="184">
        <v>18924.62</v>
      </c>
      <c r="P12" s="180" t="str">
        <f t="shared" si="5"/>
        <v>B2</v>
      </c>
      <c r="Q12" s="181">
        <v>8</v>
      </c>
      <c r="R12" s="184">
        <v>19785.740000000002</v>
      </c>
      <c r="S12" s="180" t="str">
        <f t="shared" si="6"/>
        <v>B3</v>
      </c>
      <c r="T12" s="181">
        <v>8</v>
      </c>
      <c r="U12" s="184">
        <v>20132.759999999998</v>
      </c>
      <c r="V12" s="180" t="str">
        <f t="shared" si="7"/>
        <v>B4</v>
      </c>
      <c r="W12" s="181">
        <v>8</v>
      </c>
      <c r="X12" s="184">
        <v>22714</v>
      </c>
      <c r="Y12" s="180" t="str">
        <f t="shared" si="8"/>
        <v>B5</v>
      </c>
      <c r="Z12" s="181">
        <v>8</v>
      </c>
      <c r="AA12" s="184">
        <v>24414</v>
      </c>
      <c r="AB12" s="180" t="str">
        <f t="shared" si="9"/>
        <v>M1.1</v>
      </c>
      <c r="AC12" s="181">
        <v>8</v>
      </c>
      <c r="AD12" s="184">
        <v>22086.23</v>
      </c>
      <c r="AE12" s="180" t="str">
        <f t="shared" si="10"/>
        <v>M1.2</v>
      </c>
      <c r="AF12" s="288">
        <v>8</v>
      </c>
      <c r="AG12" s="184">
        <v>24033.48</v>
      </c>
      <c r="AH12" s="180" t="str">
        <f t="shared" si="11"/>
        <v>M2.1</v>
      </c>
      <c r="AI12" s="181">
        <v>8</v>
      </c>
      <c r="AJ12" s="184">
        <v>24059.41</v>
      </c>
      <c r="AK12" s="180" t="str">
        <f t="shared" si="12"/>
        <v>M2.2</v>
      </c>
      <c r="AL12" s="288">
        <v>8</v>
      </c>
      <c r="AM12" s="184">
        <v>26184.27</v>
      </c>
      <c r="AN12" s="180" t="str">
        <f t="shared" si="13"/>
        <v>M3.1</v>
      </c>
      <c r="AO12" s="181">
        <v>8</v>
      </c>
      <c r="AP12" s="184">
        <v>24525.46</v>
      </c>
      <c r="AQ12" s="180" t="str">
        <f t="shared" si="14"/>
        <v>M3.2</v>
      </c>
      <c r="AR12" s="288">
        <v>8</v>
      </c>
      <c r="AS12" s="184">
        <v>26692.23</v>
      </c>
      <c r="AT12" s="180" t="str">
        <f t="shared" si="15"/>
        <v>M4.1</v>
      </c>
      <c r="AU12" s="181">
        <v>8</v>
      </c>
      <c r="AV12" s="184">
        <v>25189.83</v>
      </c>
      <c r="AW12" s="180" t="str">
        <f t="shared" si="16"/>
        <v>M4.2</v>
      </c>
      <c r="AX12" s="288">
        <v>8</v>
      </c>
      <c r="AY12" s="184">
        <v>27416.44</v>
      </c>
      <c r="AZ12" s="180" t="str">
        <f t="shared" si="17"/>
        <v>M5.1</v>
      </c>
      <c r="BA12" s="181">
        <v>8</v>
      </c>
      <c r="BB12" s="184">
        <v>28903</v>
      </c>
      <c r="BC12" s="180" t="str">
        <f t="shared" si="18"/>
        <v>M5.2</v>
      </c>
      <c r="BD12" s="288">
        <v>8</v>
      </c>
      <c r="BE12" s="183">
        <v>27866.44</v>
      </c>
      <c r="BF12" s="180" t="str">
        <f t="shared" si="19"/>
        <v>M6</v>
      </c>
      <c r="BG12" s="181">
        <v>8</v>
      </c>
      <c r="BH12" s="184">
        <v>25309.97</v>
      </c>
      <c r="BI12" s="180" t="str">
        <f t="shared" si="20"/>
        <v>M7</v>
      </c>
      <c r="BJ12" s="181">
        <v>8</v>
      </c>
      <c r="BK12" s="184">
        <v>27714.5</v>
      </c>
      <c r="BL12" s="180" t="str">
        <f t="shared" si="21"/>
        <v>M7bis</v>
      </c>
      <c r="BM12" s="181">
        <v>8</v>
      </c>
      <c r="BN12" s="184">
        <v>28557.38</v>
      </c>
      <c r="BO12" s="180" t="s">
        <v>15</v>
      </c>
      <c r="BP12" s="181">
        <v>8</v>
      </c>
      <c r="BQ12" s="182">
        <v>1739000</v>
      </c>
    </row>
    <row r="13" spans="1:69" x14ac:dyDescent="0.2">
      <c r="A13" s="180" t="str">
        <f t="shared" si="0"/>
        <v>HAU1</v>
      </c>
      <c r="B13" s="181">
        <v>9</v>
      </c>
      <c r="C13" s="183">
        <v>16934.98</v>
      </c>
      <c r="D13" s="180" t="str">
        <f t="shared" si="1"/>
        <v>HAU2</v>
      </c>
      <c r="E13" s="181">
        <v>9</v>
      </c>
      <c r="F13" s="184">
        <v>17777.830000000002</v>
      </c>
      <c r="G13" s="180" t="str">
        <f t="shared" si="2"/>
        <v>HAU3</v>
      </c>
      <c r="H13" s="181">
        <v>9</v>
      </c>
      <c r="I13" s="184">
        <v>19066.89</v>
      </c>
      <c r="J13" s="180" t="str">
        <f t="shared" si="3"/>
        <v>HAU4</v>
      </c>
      <c r="K13" s="181">
        <v>9</v>
      </c>
      <c r="L13" s="184">
        <v>19516.89</v>
      </c>
      <c r="M13" s="180" t="str">
        <f t="shared" si="4"/>
        <v>B1</v>
      </c>
      <c r="N13" s="181">
        <v>9</v>
      </c>
      <c r="O13" s="184">
        <v>19091.68</v>
      </c>
      <c r="P13" s="180" t="str">
        <f t="shared" si="5"/>
        <v>B2</v>
      </c>
      <c r="Q13" s="181">
        <v>9</v>
      </c>
      <c r="R13" s="184">
        <v>20169.98</v>
      </c>
      <c r="S13" s="180" t="str">
        <f t="shared" si="6"/>
        <v>B3</v>
      </c>
      <c r="T13" s="181">
        <v>9</v>
      </c>
      <c r="U13" s="184">
        <v>20554.18</v>
      </c>
      <c r="V13" s="180" t="str">
        <f t="shared" si="7"/>
        <v>B4</v>
      </c>
      <c r="W13" s="181">
        <v>9</v>
      </c>
      <c r="X13" s="184">
        <v>22914</v>
      </c>
      <c r="Y13" s="180" t="str">
        <f t="shared" si="8"/>
        <v>B5</v>
      </c>
      <c r="Z13" s="181">
        <v>9</v>
      </c>
      <c r="AA13" s="184">
        <v>24614</v>
      </c>
      <c r="AB13" s="180" t="str">
        <f t="shared" si="9"/>
        <v>M1.1</v>
      </c>
      <c r="AC13" s="181">
        <v>9</v>
      </c>
      <c r="AD13" s="184">
        <v>22621.69</v>
      </c>
      <c r="AE13" s="180" t="str">
        <f t="shared" si="10"/>
        <v>M1.2</v>
      </c>
      <c r="AF13" s="288">
        <v>9</v>
      </c>
      <c r="AG13" s="184">
        <v>24617.13</v>
      </c>
      <c r="AH13" s="180" t="str">
        <f t="shared" si="11"/>
        <v>M2.1</v>
      </c>
      <c r="AI13" s="181">
        <v>9</v>
      </c>
      <c r="AJ13" s="184">
        <v>24624.61</v>
      </c>
      <c r="AK13" s="180" t="str">
        <f t="shared" si="12"/>
        <v>M2.2</v>
      </c>
      <c r="AL13" s="288">
        <v>9</v>
      </c>
      <c r="AM13" s="184">
        <v>26800.34</v>
      </c>
      <c r="AN13" s="180" t="str">
        <f t="shared" si="13"/>
        <v>M3.1</v>
      </c>
      <c r="AO13" s="181">
        <v>9</v>
      </c>
      <c r="AP13" s="184">
        <v>25117.93</v>
      </c>
      <c r="AQ13" s="180" t="str">
        <f t="shared" si="14"/>
        <v>M3.2</v>
      </c>
      <c r="AR13" s="288">
        <v>9</v>
      </c>
      <c r="AS13" s="184">
        <v>27338.02</v>
      </c>
      <c r="AT13" s="180" t="str">
        <f t="shared" si="15"/>
        <v>M4.1</v>
      </c>
      <c r="AU13" s="181">
        <v>9</v>
      </c>
      <c r="AV13" s="184">
        <v>25834.36</v>
      </c>
      <c r="AW13" s="180" t="str">
        <f t="shared" si="16"/>
        <v>M4.2</v>
      </c>
      <c r="AX13" s="288">
        <v>9</v>
      </c>
      <c r="AY13" s="184">
        <v>28118.98</v>
      </c>
      <c r="AZ13" s="180" t="str">
        <f t="shared" si="17"/>
        <v>M5.1</v>
      </c>
      <c r="BA13" s="181">
        <v>9</v>
      </c>
      <c r="BB13" s="184">
        <v>29173</v>
      </c>
      <c r="BC13" s="180" t="str">
        <f t="shared" si="18"/>
        <v>M5.2</v>
      </c>
      <c r="BD13" s="288">
        <v>9</v>
      </c>
      <c r="BE13" s="183">
        <v>28568.98</v>
      </c>
      <c r="BF13" s="180" t="str">
        <f t="shared" si="19"/>
        <v>M6</v>
      </c>
      <c r="BG13" s="181">
        <v>9</v>
      </c>
      <c r="BH13" s="184">
        <v>25929.71</v>
      </c>
      <c r="BI13" s="180" t="str">
        <f t="shared" si="20"/>
        <v>M7</v>
      </c>
      <c r="BJ13" s="181">
        <v>9</v>
      </c>
      <c r="BK13" s="184">
        <v>28297.05</v>
      </c>
      <c r="BL13" s="180" t="str">
        <f t="shared" si="21"/>
        <v>M7bis</v>
      </c>
      <c r="BM13" s="181">
        <v>9</v>
      </c>
      <c r="BN13" s="184">
        <v>29152.33</v>
      </c>
      <c r="BO13" s="180" t="s">
        <v>15</v>
      </c>
      <c r="BP13" s="181">
        <v>9</v>
      </c>
      <c r="BQ13" s="182">
        <v>1778000</v>
      </c>
    </row>
    <row r="14" spans="1:69" x14ac:dyDescent="0.2">
      <c r="A14" s="180" t="str">
        <f t="shared" si="0"/>
        <v>HAU1</v>
      </c>
      <c r="B14" s="181">
        <v>10</v>
      </c>
      <c r="C14" s="183">
        <v>17182.88</v>
      </c>
      <c r="D14" s="180" t="str">
        <f t="shared" si="1"/>
        <v>HAU2</v>
      </c>
      <c r="E14" s="181">
        <v>10</v>
      </c>
      <c r="F14" s="184">
        <v>18050.52</v>
      </c>
      <c r="G14" s="180" t="str">
        <f t="shared" si="2"/>
        <v>HAU3</v>
      </c>
      <c r="H14" s="181">
        <v>10</v>
      </c>
      <c r="I14" s="184">
        <v>19413.95</v>
      </c>
      <c r="J14" s="180" t="str">
        <f t="shared" si="3"/>
        <v>HAU4</v>
      </c>
      <c r="K14" s="181">
        <v>10</v>
      </c>
      <c r="L14" s="184">
        <v>19863.95</v>
      </c>
      <c r="M14" s="180" t="str">
        <f t="shared" si="4"/>
        <v>B1</v>
      </c>
      <c r="N14" s="181">
        <v>10</v>
      </c>
      <c r="O14" s="184">
        <v>19438.740000000002</v>
      </c>
      <c r="P14" s="180" t="str">
        <f t="shared" si="5"/>
        <v>B2</v>
      </c>
      <c r="Q14" s="181">
        <v>10</v>
      </c>
      <c r="R14" s="184">
        <v>20554.22</v>
      </c>
      <c r="S14" s="180" t="str">
        <f t="shared" si="6"/>
        <v>B3</v>
      </c>
      <c r="T14" s="181">
        <v>10</v>
      </c>
      <c r="U14" s="184">
        <v>20975.599999999999</v>
      </c>
      <c r="V14" s="180" t="str">
        <f t="shared" si="7"/>
        <v>B4</v>
      </c>
      <c r="W14" s="181">
        <v>10</v>
      </c>
      <c r="X14" s="184">
        <v>23114</v>
      </c>
      <c r="Y14" s="180" t="str">
        <f t="shared" si="8"/>
        <v>B5</v>
      </c>
      <c r="Z14" s="181">
        <v>10</v>
      </c>
      <c r="AA14" s="184">
        <v>24814</v>
      </c>
      <c r="AB14" s="180" t="str">
        <f t="shared" si="9"/>
        <v>M1.1</v>
      </c>
      <c r="AC14" s="181">
        <v>10</v>
      </c>
      <c r="AD14" s="184">
        <v>23157.15</v>
      </c>
      <c r="AE14" s="180" t="str">
        <f t="shared" si="10"/>
        <v>M1.2</v>
      </c>
      <c r="AF14" s="288">
        <v>10</v>
      </c>
      <c r="AG14" s="184">
        <v>25200.78</v>
      </c>
      <c r="AH14" s="180" t="str">
        <f t="shared" si="11"/>
        <v>M2.1</v>
      </c>
      <c r="AI14" s="181">
        <v>10</v>
      </c>
      <c r="AJ14" s="184">
        <v>25189.81</v>
      </c>
      <c r="AK14" s="180" t="str">
        <f t="shared" si="12"/>
        <v>M2.2</v>
      </c>
      <c r="AL14" s="288">
        <v>10</v>
      </c>
      <c r="AM14" s="184">
        <v>27416.41</v>
      </c>
      <c r="AN14" s="180" t="str">
        <f t="shared" si="13"/>
        <v>M3.1</v>
      </c>
      <c r="AO14" s="181">
        <v>10</v>
      </c>
      <c r="AP14" s="184">
        <v>25710.400000000001</v>
      </c>
      <c r="AQ14" s="180" t="str">
        <f t="shared" si="14"/>
        <v>M3.2</v>
      </c>
      <c r="AR14" s="288">
        <v>10</v>
      </c>
      <c r="AS14" s="184">
        <v>27983.81</v>
      </c>
      <c r="AT14" s="180" t="str">
        <f t="shared" si="15"/>
        <v>M4.1</v>
      </c>
      <c r="AU14" s="181">
        <v>10</v>
      </c>
      <c r="AV14" s="184">
        <v>26478.89</v>
      </c>
      <c r="AW14" s="180" t="str">
        <f t="shared" si="16"/>
        <v>M4.2</v>
      </c>
      <c r="AX14" s="288">
        <v>10</v>
      </c>
      <c r="AY14" s="184">
        <v>28821.52</v>
      </c>
      <c r="AZ14" s="180" t="str">
        <f t="shared" si="17"/>
        <v>M5.1</v>
      </c>
      <c r="BA14" s="181">
        <v>10</v>
      </c>
      <c r="BB14" s="184">
        <v>29443</v>
      </c>
      <c r="BC14" s="180" t="str">
        <f t="shared" si="18"/>
        <v>M5.2</v>
      </c>
      <c r="BD14" s="288">
        <v>10</v>
      </c>
      <c r="BE14" s="183">
        <v>29271.52</v>
      </c>
      <c r="BF14" s="180" t="str">
        <f t="shared" si="19"/>
        <v>M6</v>
      </c>
      <c r="BG14" s="181">
        <v>10</v>
      </c>
      <c r="BH14" s="184">
        <v>26549.45</v>
      </c>
      <c r="BI14" s="180" t="str">
        <f t="shared" si="20"/>
        <v>M7</v>
      </c>
      <c r="BJ14" s="181">
        <v>10</v>
      </c>
      <c r="BK14" s="184">
        <v>28879.599999999999</v>
      </c>
      <c r="BL14" s="180" t="str">
        <f t="shared" si="21"/>
        <v>M7bis</v>
      </c>
      <c r="BM14" s="181">
        <v>10</v>
      </c>
      <c r="BN14" s="184">
        <v>29747.279999999999</v>
      </c>
      <c r="BO14" s="180" t="s">
        <v>15</v>
      </c>
      <c r="BP14" s="181">
        <v>10</v>
      </c>
      <c r="BQ14" s="182">
        <v>1817000</v>
      </c>
    </row>
    <row r="15" spans="1:69" x14ac:dyDescent="0.2">
      <c r="A15" s="180" t="str">
        <f t="shared" si="0"/>
        <v>HAU1</v>
      </c>
      <c r="B15" s="181">
        <v>11</v>
      </c>
      <c r="C15" s="183">
        <v>17430.78</v>
      </c>
      <c r="D15" s="180" t="str">
        <f t="shared" si="1"/>
        <v>HAU2</v>
      </c>
      <c r="E15" s="181">
        <v>11</v>
      </c>
      <c r="F15" s="184">
        <v>18323.21</v>
      </c>
      <c r="G15" s="180" t="str">
        <f t="shared" si="2"/>
        <v>HAU3</v>
      </c>
      <c r="H15" s="181">
        <v>11</v>
      </c>
      <c r="I15" s="184">
        <v>19761.009999999998</v>
      </c>
      <c r="J15" s="180" t="str">
        <f t="shared" si="3"/>
        <v>HAU4</v>
      </c>
      <c r="K15" s="181">
        <v>11</v>
      </c>
      <c r="L15" s="184">
        <v>20211.009999999998</v>
      </c>
      <c r="M15" s="180" t="str">
        <f t="shared" si="4"/>
        <v>B1</v>
      </c>
      <c r="N15" s="181">
        <v>11</v>
      </c>
      <c r="O15" s="184">
        <v>19785.8</v>
      </c>
      <c r="P15" s="180" t="str">
        <f t="shared" si="5"/>
        <v>B2</v>
      </c>
      <c r="Q15" s="181">
        <v>11</v>
      </c>
      <c r="R15" s="184">
        <v>20938.46</v>
      </c>
      <c r="S15" s="180" t="str">
        <f t="shared" si="6"/>
        <v>B3</v>
      </c>
      <c r="T15" s="181">
        <v>11</v>
      </c>
      <c r="U15" s="184">
        <v>21397.02</v>
      </c>
      <c r="V15" s="180" t="str">
        <f t="shared" si="7"/>
        <v>B4</v>
      </c>
      <c r="W15" s="181">
        <v>11</v>
      </c>
      <c r="X15" s="184">
        <v>23313</v>
      </c>
      <c r="Y15" s="180" t="str">
        <f t="shared" si="8"/>
        <v>B5</v>
      </c>
      <c r="Z15" s="181">
        <v>11</v>
      </c>
      <c r="AA15" s="184">
        <v>25013</v>
      </c>
      <c r="AB15" s="180" t="str">
        <f t="shared" si="9"/>
        <v>M1.1</v>
      </c>
      <c r="AC15" s="181">
        <v>11</v>
      </c>
      <c r="AD15" s="184">
        <v>23692.61</v>
      </c>
      <c r="AE15" s="180" t="str">
        <f t="shared" si="10"/>
        <v>M1.2</v>
      </c>
      <c r="AF15" s="288">
        <v>11</v>
      </c>
      <c r="AG15" s="184">
        <v>25784.43</v>
      </c>
      <c r="AH15" s="180" t="str">
        <f t="shared" si="11"/>
        <v>M2.1</v>
      </c>
      <c r="AI15" s="181">
        <v>11</v>
      </c>
      <c r="AJ15" s="184">
        <v>25755.01</v>
      </c>
      <c r="AK15" s="180" t="str">
        <f t="shared" si="12"/>
        <v>M2.2</v>
      </c>
      <c r="AL15" s="288">
        <v>11</v>
      </c>
      <c r="AM15" s="184">
        <v>28032.48</v>
      </c>
      <c r="AN15" s="180" t="str">
        <f t="shared" si="13"/>
        <v>M3.1</v>
      </c>
      <c r="AO15" s="181">
        <v>11</v>
      </c>
      <c r="AP15" s="184">
        <v>26302.87</v>
      </c>
      <c r="AQ15" s="180" t="str">
        <f t="shared" si="14"/>
        <v>M3.2</v>
      </c>
      <c r="AR15" s="288">
        <v>11</v>
      </c>
      <c r="AS15" s="184">
        <v>28629.599999999999</v>
      </c>
      <c r="AT15" s="180" t="str">
        <f t="shared" si="15"/>
        <v>M4.1</v>
      </c>
      <c r="AU15" s="181">
        <v>11</v>
      </c>
      <c r="AV15" s="184">
        <v>27123.42</v>
      </c>
      <c r="AW15" s="180" t="str">
        <f t="shared" si="16"/>
        <v>M4.2</v>
      </c>
      <c r="AX15" s="288">
        <v>11</v>
      </c>
      <c r="AY15" s="184">
        <v>29524.06</v>
      </c>
      <c r="AZ15" s="180" t="str">
        <f t="shared" si="17"/>
        <v>M5.1</v>
      </c>
      <c r="BA15" s="181">
        <v>11</v>
      </c>
      <c r="BB15" s="184">
        <v>29712</v>
      </c>
      <c r="BC15" s="180" t="str">
        <f t="shared" si="18"/>
        <v>M5.2</v>
      </c>
      <c r="BD15" s="288">
        <v>11</v>
      </c>
      <c r="BE15" s="183">
        <v>29974.06</v>
      </c>
      <c r="BF15" s="180" t="str">
        <f t="shared" si="19"/>
        <v>M6</v>
      </c>
      <c r="BG15" s="181">
        <v>11</v>
      </c>
      <c r="BH15" s="184">
        <v>27169.19</v>
      </c>
      <c r="BI15" s="180" t="str">
        <f t="shared" si="20"/>
        <v>M7</v>
      </c>
      <c r="BJ15" s="181">
        <v>11</v>
      </c>
      <c r="BK15" s="184">
        <v>29462.15</v>
      </c>
      <c r="BL15" s="180" t="str">
        <f t="shared" si="21"/>
        <v>M7bis</v>
      </c>
      <c r="BM15" s="181">
        <v>11</v>
      </c>
      <c r="BN15" s="184">
        <v>30342.23</v>
      </c>
      <c r="BO15" s="180" t="s">
        <v>15</v>
      </c>
      <c r="BP15" s="181">
        <v>11</v>
      </c>
      <c r="BQ15" s="182">
        <v>1856000</v>
      </c>
    </row>
    <row r="16" spans="1:69" x14ac:dyDescent="0.2">
      <c r="A16" s="180" t="str">
        <f t="shared" si="0"/>
        <v>HAU1</v>
      </c>
      <c r="B16" s="181">
        <v>12</v>
      </c>
      <c r="C16" s="183">
        <v>17678.68</v>
      </c>
      <c r="D16" s="180" t="str">
        <f t="shared" si="1"/>
        <v>HAU2</v>
      </c>
      <c r="E16" s="181">
        <v>12</v>
      </c>
      <c r="F16" s="184">
        <v>18775.900000000001</v>
      </c>
      <c r="G16" s="180" t="str">
        <f t="shared" si="2"/>
        <v>HAU3</v>
      </c>
      <c r="H16" s="181">
        <v>12</v>
      </c>
      <c r="I16" s="184">
        <v>20108.07</v>
      </c>
      <c r="J16" s="180" t="str">
        <f t="shared" si="3"/>
        <v>HAU4</v>
      </c>
      <c r="K16" s="181">
        <v>12</v>
      </c>
      <c r="L16" s="184">
        <v>20558.07</v>
      </c>
      <c r="M16" s="180" t="str">
        <f t="shared" si="4"/>
        <v>B1</v>
      </c>
      <c r="N16" s="181">
        <v>12</v>
      </c>
      <c r="O16" s="184">
        <v>20132.86</v>
      </c>
      <c r="P16" s="180" t="str">
        <f t="shared" si="5"/>
        <v>B2</v>
      </c>
      <c r="Q16" s="181">
        <v>12</v>
      </c>
      <c r="R16" s="184">
        <v>21322.7</v>
      </c>
      <c r="S16" s="180" t="str">
        <f t="shared" si="6"/>
        <v>B3</v>
      </c>
      <c r="T16" s="181">
        <v>12</v>
      </c>
      <c r="U16" s="184">
        <v>21818.44</v>
      </c>
      <c r="V16" s="180" t="str">
        <f t="shared" si="7"/>
        <v>B4</v>
      </c>
      <c r="W16" s="181">
        <v>12</v>
      </c>
      <c r="X16" s="184">
        <v>23513</v>
      </c>
      <c r="Y16" s="180" t="str">
        <f t="shared" si="8"/>
        <v>B5</v>
      </c>
      <c r="Z16" s="181">
        <v>12</v>
      </c>
      <c r="AA16" s="184">
        <v>25213</v>
      </c>
      <c r="AB16" s="180" t="str">
        <f t="shared" si="9"/>
        <v>M1.1</v>
      </c>
      <c r="AC16" s="181">
        <v>12</v>
      </c>
      <c r="AD16" s="184">
        <v>24228.07</v>
      </c>
      <c r="AE16" s="180" t="str">
        <f t="shared" si="10"/>
        <v>M1.2</v>
      </c>
      <c r="AF16" s="288">
        <v>12</v>
      </c>
      <c r="AG16" s="184">
        <v>26368.080000000002</v>
      </c>
      <c r="AH16" s="180" t="str">
        <f t="shared" si="11"/>
        <v>M2.1</v>
      </c>
      <c r="AI16" s="181">
        <v>12</v>
      </c>
      <c r="AJ16" s="184">
        <v>26320.21</v>
      </c>
      <c r="AK16" s="180" t="str">
        <f t="shared" si="12"/>
        <v>M2.2</v>
      </c>
      <c r="AL16" s="288">
        <v>12</v>
      </c>
      <c r="AM16" s="184">
        <v>28648.55</v>
      </c>
      <c r="AN16" s="180" t="str">
        <f t="shared" si="13"/>
        <v>M3.1</v>
      </c>
      <c r="AO16" s="181">
        <v>12</v>
      </c>
      <c r="AP16" s="184">
        <v>26895.34</v>
      </c>
      <c r="AQ16" s="180" t="str">
        <f t="shared" si="14"/>
        <v>M3.2</v>
      </c>
      <c r="AR16" s="288">
        <v>12</v>
      </c>
      <c r="AS16" s="184">
        <v>29275.39</v>
      </c>
      <c r="AT16" s="180" t="str">
        <f t="shared" si="15"/>
        <v>M4.1</v>
      </c>
      <c r="AU16" s="181">
        <v>12</v>
      </c>
      <c r="AV16" s="184">
        <v>27767.95</v>
      </c>
      <c r="AW16" s="180" t="str">
        <f t="shared" si="16"/>
        <v>M4.2</v>
      </c>
      <c r="AX16" s="288">
        <v>12</v>
      </c>
      <c r="AY16" s="184">
        <v>30226.6</v>
      </c>
      <c r="AZ16" s="180" t="str">
        <f t="shared" si="17"/>
        <v>M5.1</v>
      </c>
      <c r="BA16" s="181">
        <v>12</v>
      </c>
      <c r="BB16" s="184">
        <v>29982</v>
      </c>
      <c r="BC16" s="180" t="str">
        <f t="shared" si="18"/>
        <v>M5.2</v>
      </c>
      <c r="BD16" s="288">
        <v>12</v>
      </c>
      <c r="BE16" s="183">
        <v>30676.6</v>
      </c>
      <c r="BF16" s="180" t="str">
        <f t="shared" si="19"/>
        <v>M6</v>
      </c>
      <c r="BG16" s="181">
        <v>12</v>
      </c>
      <c r="BH16" s="184">
        <v>27788.93</v>
      </c>
      <c r="BI16" s="180" t="str">
        <f t="shared" si="20"/>
        <v>M7</v>
      </c>
      <c r="BJ16" s="181">
        <v>12</v>
      </c>
      <c r="BK16" s="184">
        <v>30044.7</v>
      </c>
      <c r="BL16" s="180" t="str">
        <f t="shared" si="21"/>
        <v>M7bis</v>
      </c>
      <c r="BM16" s="181">
        <v>12</v>
      </c>
      <c r="BN16" s="184">
        <v>30937.18</v>
      </c>
      <c r="BO16" s="180" t="s">
        <v>15</v>
      </c>
      <c r="BP16" s="181">
        <v>12</v>
      </c>
      <c r="BQ16" s="182">
        <v>1895000</v>
      </c>
    </row>
    <row r="17" spans="1:69" x14ac:dyDescent="0.2">
      <c r="A17" s="180" t="str">
        <f t="shared" si="0"/>
        <v>HAU1</v>
      </c>
      <c r="B17" s="181">
        <v>13</v>
      </c>
      <c r="C17" s="183">
        <v>17926.580000000002</v>
      </c>
      <c r="D17" s="180" t="str">
        <f t="shared" si="1"/>
        <v>HAU2</v>
      </c>
      <c r="E17" s="181">
        <v>13</v>
      </c>
      <c r="F17" s="184">
        <v>18966.64</v>
      </c>
      <c r="G17" s="180" t="str">
        <f t="shared" si="2"/>
        <v>HAU3</v>
      </c>
      <c r="H17" s="181">
        <v>13</v>
      </c>
      <c r="I17" s="184">
        <v>20455.13</v>
      </c>
      <c r="J17" s="180" t="str">
        <f t="shared" si="3"/>
        <v>HAU4</v>
      </c>
      <c r="K17" s="181">
        <v>13</v>
      </c>
      <c r="L17" s="184">
        <v>20905.13</v>
      </c>
      <c r="M17" s="180" t="str">
        <f t="shared" si="4"/>
        <v>B1</v>
      </c>
      <c r="N17" s="181">
        <v>13</v>
      </c>
      <c r="O17" s="184">
        <v>20479.919999999998</v>
      </c>
      <c r="P17" s="180" t="str">
        <f t="shared" si="5"/>
        <v>B2</v>
      </c>
      <c r="Q17" s="181">
        <v>13</v>
      </c>
      <c r="R17" s="184">
        <v>21706.94</v>
      </c>
      <c r="S17" s="180" t="str">
        <f t="shared" si="6"/>
        <v>B3</v>
      </c>
      <c r="T17" s="181">
        <v>13</v>
      </c>
      <c r="U17" s="184">
        <v>22239.86</v>
      </c>
      <c r="V17" s="180" t="str">
        <f t="shared" si="7"/>
        <v>B4</v>
      </c>
      <c r="W17" s="181">
        <v>13</v>
      </c>
      <c r="X17" s="184">
        <v>23713</v>
      </c>
      <c r="Y17" s="180" t="str">
        <f t="shared" si="8"/>
        <v>B5</v>
      </c>
      <c r="Z17" s="181">
        <v>13</v>
      </c>
      <c r="AA17" s="184">
        <v>25413</v>
      </c>
      <c r="AB17" s="180" t="str">
        <f t="shared" si="9"/>
        <v>M1.1</v>
      </c>
      <c r="AC17" s="181">
        <v>13</v>
      </c>
      <c r="AD17" s="184">
        <v>24763.53</v>
      </c>
      <c r="AE17" s="180" t="str">
        <f t="shared" si="10"/>
        <v>M1.2</v>
      </c>
      <c r="AF17" s="288">
        <v>13</v>
      </c>
      <c r="AG17" s="184">
        <v>26951.73</v>
      </c>
      <c r="AH17" s="180" t="str">
        <f t="shared" si="11"/>
        <v>M2.1</v>
      </c>
      <c r="AI17" s="181">
        <v>13</v>
      </c>
      <c r="AJ17" s="184">
        <v>26885.41</v>
      </c>
      <c r="AK17" s="180" t="str">
        <f t="shared" si="12"/>
        <v>M2.2</v>
      </c>
      <c r="AL17" s="288">
        <v>13</v>
      </c>
      <c r="AM17" s="184">
        <v>29264.62</v>
      </c>
      <c r="AN17" s="180" t="str">
        <f t="shared" si="13"/>
        <v>M3.1</v>
      </c>
      <c r="AO17" s="181">
        <v>13</v>
      </c>
      <c r="AP17" s="184">
        <v>27487.81</v>
      </c>
      <c r="AQ17" s="180" t="str">
        <f t="shared" si="14"/>
        <v>M3.2</v>
      </c>
      <c r="AR17" s="288">
        <v>13</v>
      </c>
      <c r="AS17" s="184">
        <v>29921.18</v>
      </c>
      <c r="AT17" s="180" t="str">
        <f t="shared" si="15"/>
        <v>M4.1</v>
      </c>
      <c r="AU17" s="181">
        <v>13</v>
      </c>
      <c r="AV17" s="184">
        <v>28412.48</v>
      </c>
      <c r="AW17" s="180" t="str">
        <f t="shared" si="16"/>
        <v>M4.2</v>
      </c>
      <c r="AX17" s="288">
        <v>13</v>
      </c>
      <c r="AY17" s="184">
        <v>30929.14</v>
      </c>
      <c r="AZ17" s="180" t="str">
        <f t="shared" si="17"/>
        <v>M5.1</v>
      </c>
      <c r="BA17" s="181">
        <v>13</v>
      </c>
      <c r="BB17" s="184">
        <v>30252</v>
      </c>
      <c r="BC17" s="180" t="str">
        <f t="shared" si="18"/>
        <v>M5.2</v>
      </c>
      <c r="BD17" s="288">
        <v>13</v>
      </c>
      <c r="BE17" s="183">
        <v>31379.14</v>
      </c>
      <c r="BF17" s="180" t="str">
        <f t="shared" si="19"/>
        <v>M6</v>
      </c>
      <c r="BG17" s="181">
        <v>13</v>
      </c>
      <c r="BH17" s="184">
        <v>28408.67</v>
      </c>
      <c r="BI17" s="180" t="str">
        <f t="shared" si="20"/>
        <v>M7</v>
      </c>
      <c r="BJ17" s="181">
        <v>13</v>
      </c>
      <c r="BK17" s="184">
        <v>30627.25</v>
      </c>
      <c r="BL17" s="180" t="str">
        <f t="shared" si="21"/>
        <v>M7bis</v>
      </c>
      <c r="BM17" s="181">
        <v>13</v>
      </c>
      <c r="BN17" s="184">
        <v>31532.13</v>
      </c>
      <c r="BO17" s="180" t="s">
        <v>15</v>
      </c>
      <c r="BP17" s="181">
        <v>13</v>
      </c>
      <c r="BQ17" s="182">
        <v>1910000</v>
      </c>
    </row>
    <row r="18" spans="1:69" x14ac:dyDescent="0.2">
      <c r="A18" s="180" t="str">
        <f t="shared" si="0"/>
        <v>HAU1</v>
      </c>
      <c r="B18" s="181">
        <v>14</v>
      </c>
      <c r="C18" s="183">
        <v>18062.93</v>
      </c>
      <c r="D18" s="180" t="str">
        <f t="shared" si="1"/>
        <v>HAU2</v>
      </c>
      <c r="E18" s="181">
        <v>14</v>
      </c>
      <c r="F18" s="184">
        <v>19017.330000000002</v>
      </c>
      <c r="G18" s="180" t="str">
        <f t="shared" si="2"/>
        <v>HAU3</v>
      </c>
      <c r="H18" s="181">
        <v>14</v>
      </c>
      <c r="I18" s="184">
        <v>20653.45</v>
      </c>
      <c r="J18" s="180" t="str">
        <f t="shared" si="3"/>
        <v>HAU4</v>
      </c>
      <c r="K18" s="181">
        <v>14</v>
      </c>
      <c r="L18" s="184">
        <v>21103.45</v>
      </c>
      <c r="M18" s="180" t="str">
        <f t="shared" si="4"/>
        <v>B1</v>
      </c>
      <c r="N18" s="181">
        <v>14</v>
      </c>
      <c r="O18" s="184">
        <v>20678.240000000002</v>
      </c>
      <c r="P18" s="180" t="str">
        <f t="shared" si="5"/>
        <v>B2</v>
      </c>
      <c r="Q18" s="181">
        <v>14</v>
      </c>
      <c r="R18" s="184">
        <v>21954.84</v>
      </c>
      <c r="S18" s="180" t="str">
        <f t="shared" si="6"/>
        <v>B3</v>
      </c>
      <c r="T18" s="181">
        <v>14</v>
      </c>
      <c r="U18" s="184">
        <v>22470.41</v>
      </c>
      <c r="V18" s="180" t="str">
        <f t="shared" si="7"/>
        <v>B4</v>
      </c>
      <c r="W18" s="181">
        <v>14</v>
      </c>
      <c r="X18" s="184">
        <v>23913</v>
      </c>
      <c r="Y18" s="180" t="str">
        <f t="shared" si="8"/>
        <v>B5</v>
      </c>
      <c r="Z18" s="181">
        <v>14</v>
      </c>
      <c r="AA18" s="184">
        <v>25613</v>
      </c>
      <c r="AB18" s="180" t="str">
        <f t="shared" si="9"/>
        <v>M1.1</v>
      </c>
      <c r="AC18" s="181">
        <v>14</v>
      </c>
      <c r="AD18" s="184">
        <v>25051.09</v>
      </c>
      <c r="AE18" s="180" t="str">
        <f t="shared" si="10"/>
        <v>M1.2</v>
      </c>
      <c r="AF18" s="288">
        <v>14</v>
      </c>
      <c r="AG18" s="184">
        <v>27265.17</v>
      </c>
      <c r="AH18" s="180" t="str">
        <f t="shared" si="11"/>
        <v>M2.1</v>
      </c>
      <c r="AI18" s="181">
        <v>14</v>
      </c>
      <c r="AJ18" s="184">
        <v>27190.32</v>
      </c>
      <c r="AK18" s="180" t="str">
        <f t="shared" si="12"/>
        <v>M2.2</v>
      </c>
      <c r="AL18" s="288">
        <v>14</v>
      </c>
      <c r="AM18" s="184">
        <v>29596.98</v>
      </c>
      <c r="AN18" s="180" t="str">
        <f t="shared" si="13"/>
        <v>M3.1</v>
      </c>
      <c r="AO18" s="181">
        <v>14</v>
      </c>
      <c r="AP18" s="184">
        <v>27810.080000000002</v>
      </c>
      <c r="AQ18" s="180" t="str">
        <f t="shared" si="14"/>
        <v>M3.2</v>
      </c>
      <c r="AR18" s="288">
        <v>14</v>
      </c>
      <c r="AS18" s="184">
        <v>30272.45</v>
      </c>
      <c r="AT18" s="180" t="str">
        <f t="shared" si="15"/>
        <v>M4.1</v>
      </c>
      <c r="AU18" s="181">
        <v>14</v>
      </c>
      <c r="AV18" s="184">
        <v>28759.54</v>
      </c>
      <c r="AW18" s="180" t="str">
        <f t="shared" si="16"/>
        <v>M4.2</v>
      </c>
      <c r="AX18" s="288">
        <v>14</v>
      </c>
      <c r="AY18" s="184">
        <v>31307.43</v>
      </c>
      <c r="AZ18" s="180" t="str">
        <f t="shared" si="17"/>
        <v>M5.1</v>
      </c>
      <c r="BA18" s="181">
        <v>14</v>
      </c>
      <c r="BB18" s="184">
        <v>30521</v>
      </c>
      <c r="BC18" s="180" t="str">
        <f t="shared" si="18"/>
        <v>M5.2</v>
      </c>
      <c r="BD18" s="288">
        <v>14</v>
      </c>
      <c r="BE18" s="183">
        <v>31757.43</v>
      </c>
      <c r="BF18" s="180" t="str">
        <f t="shared" si="19"/>
        <v>M6</v>
      </c>
      <c r="BG18" s="181">
        <v>14</v>
      </c>
      <c r="BH18" s="184">
        <v>28755.73</v>
      </c>
      <c r="BI18" s="180" t="str">
        <f t="shared" si="20"/>
        <v>M7</v>
      </c>
      <c r="BJ18" s="181">
        <v>14</v>
      </c>
      <c r="BK18" s="184">
        <v>30949.52</v>
      </c>
      <c r="BL18" s="180" t="str">
        <f t="shared" si="21"/>
        <v>M7bis</v>
      </c>
      <c r="BM18" s="181">
        <v>14</v>
      </c>
      <c r="BN18" s="184">
        <v>31879.19</v>
      </c>
      <c r="BO18" s="180" t="s">
        <v>15</v>
      </c>
      <c r="BP18" s="181">
        <v>14</v>
      </c>
      <c r="BQ18" s="182">
        <v>1925000</v>
      </c>
    </row>
    <row r="19" spans="1:69" x14ac:dyDescent="0.2">
      <c r="A19" s="180" t="str">
        <f t="shared" si="0"/>
        <v>HAU1</v>
      </c>
      <c r="B19" s="181">
        <v>15</v>
      </c>
      <c r="C19" s="183">
        <v>18199.28</v>
      </c>
      <c r="D19" s="180" t="str">
        <f t="shared" si="1"/>
        <v>HAU2</v>
      </c>
      <c r="E19" s="181">
        <v>15</v>
      </c>
      <c r="F19" s="184">
        <v>19166.07</v>
      </c>
      <c r="G19" s="180" t="str">
        <f t="shared" si="2"/>
        <v>HAU3</v>
      </c>
      <c r="H19" s="181">
        <v>15</v>
      </c>
      <c r="I19" s="184">
        <v>20851.77</v>
      </c>
      <c r="J19" s="180" t="str">
        <f t="shared" si="3"/>
        <v>HAU4</v>
      </c>
      <c r="K19" s="181">
        <v>15</v>
      </c>
      <c r="L19" s="184">
        <v>21301.77</v>
      </c>
      <c r="M19" s="180" t="str">
        <f t="shared" si="4"/>
        <v>B1</v>
      </c>
      <c r="N19" s="181">
        <v>15</v>
      </c>
      <c r="O19" s="184">
        <v>20876.560000000001</v>
      </c>
      <c r="P19" s="180" t="str">
        <f t="shared" si="5"/>
        <v>B2</v>
      </c>
      <c r="Q19" s="181">
        <v>15</v>
      </c>
      <c r="R19" s="184">
        <v>22202.74</v>
      </c>
      <c r="S19" s="180" t="str">
        <f t="shared" si="6"/>
        <v>B3</v>
      </c>
      <c r="T19" s="181">
        <v>15</v>
      </c>
      <c r="U19" s="184">
        <v>22700.959999999999</v>
      </c>
      <c r="V19" s="180" t="str">
        <f t="shared" si="7"/>
        <v>B4</v>
      </c>
      <c r="W19" s="181">
        <v>15</v>
      </c>
      <c r="X19" s="184">
        <v>24112</v>
      </c>
      <c r="Y19" s="180" t="str">
        <f t="shared" si="8"/>
        <v>B5</v>
      </c>
      <c r="Z19" s="181">
        <v>15</v>
      </c>
      <c r="AA19" s="184">
        <v>25812</v>
      </c>
      <c r="AB19" s="180" t="str">
        <f t="shared" si="9"/>
        <v>M1.1</v>
      </c>
      <c r="AC19" s="181">
        <v>15</v>
      </c>
      <c r="AD19" s="184">
        <v>25338.65</v>
      </c>
      <c r="AE19" s="180" t="str">
        <f t="shared" si="10"/>
        <v>M1.2</v>
      </c>
      <c r="AF19" s="288">
        <v>15</v>
      </c>
      <c r="AG19" s="184">
        <v>27578.61</v>
      </c>
      <c r="AH19" s="180" t="str">
        <f t="shared" si="11"/>
        <v>M2.1</v>
      </c>
      <c r="AI19" s="181">
        <v>15</v>
      </c>
      <c r="AJ19" s="184">
        <v>27495.23</v>
      </c>
      <c r="AK19" s="180" t="str">
        <f t="shared" si="12"/>
        <v>M2.2</v>
      </c>
      <c r="AL19" s="288">
        <v>15</v>
      </c>
      <c r="AM19" s="184">
        <v>29929.34</v>
      </c>
      <c r="AN19" s="180" t="str">
        <f t="shared" si="13"/>
        <v>M3.1</v>
      </c>
      <c r="AO19" s="181">
        <v>15</v>
      </c>
      <c r="AP19" s="184">
        <v>28132.35</v>
      </c>
      <c r="AQ19" s="180" t="str">
        <f t="shared" si="14"/>
        <v>M3.2</v>
      </c>
      <c r="AR19" s="288">
        <v>15</v>
      </c>
      <c r="AS19" s="184">
        <v>30623.72</v>
      </c>
      <c r="AT19" s="180" t="str">
        <f t="shared" si="15"/>
        <v>M4.1</v>
      </c>
      <c r="AU19" s="181">
        <v>15</v>
      </c>
      <c r="AV19" s="184">
        <v>29106.6</v>
      </c>
      <c r="AW19" s="180" t="str">
        <f t="shared" si="16"/>
        <v>M4.2</v>
      </c>
      <c r="AX19" s="288">
        <v>15</v>
      </c>
      <c r="AY19" s="184">
        <v>31685.72</v>
      </c>
      <c r="AZ19" s="180" t="str">
        <f t="shared" si="17"/>
        <v>M5.1</v>
      </c>
      <c r="BA19" s="181">
        <v>15</v>
      </c>
      <c r="BB19" s="184">
        <v>30791</v>
      </c>
      <c r="BC19" s="180" t="str">
        <f t="shared" si="18"/>
        <v>M5.2</v>
      </c>
      <c r="BD19" s="288">
        <v>15</v>
      </c>
      <c r="BE19" s="183">
        <v>32135.72</v>
      </c>
      <c r="BF19" s="180" t="str">
        <f t="shared" si="19"/>
        <v>M6</v>
      </c>
      <c r="BG19" s="181">
        <v>15</v>
      </c>
      <c r="BH19" s="184">
        <v>29102.79</v>
      </c>
      <c r="BI19" s="180" t="str">
        <f t="shared" si="20"/>
        <v>M7</v>
      </c>
      <c r="BJ19" s="181">
        <v>15</v>
      </c>
      <c r="BK19" s="184">
        <v>31271.79</v>
      </c>
      <c r="BL19" s="180" t="str">
        <f t="shared" si="21"/>
        <v>M7bis</v>
      </c>
      <c r="BM19" s="181">
        <v>15</v>
      </c>
      <c r="BN19" s="184">
        <v>32226.25</v>
      </c>
      <c r="BO19" s="180" t="s">
        <v>15</v>
      </c>
      <c r="BP19" s="181">
        <v>15</v>
      </c>
      <c r="BQ19" s="182">
        <v>1940000</v>
      </c>
    </row>
    <row r="20" spans="1:69" x14ac:dyDescent="0.2">
      <c r="A20" s="180" t="str">
        <f t="shared" si="0"/>
        <v>HAU1</v>
      </c>
      <c r="B20" s="181">
        <v>16</v>
      </c>
      <c r="C20" s="183">
        <v>18515.63</v>
      </c>
      <c r="D20" s="180" t="str">
        <f t="shared" si="1"/>
        <v>HAU2</v>
      </c>
      <c r="E20" s="181">
        <v>16</v>
      </c>
      <c r="F20" s="184">
        <v>19314.810000000001</v>
      </c>
      <c r="G20" s="180" t="str">
        <f t="shared" si="2"/>
        <v>HAU3</v>
      </c>
      <c r="H20" s="181">
        <v>16</v>
      </c>
      <c r="I20" s="184">
        <v>21040.17</v>
      </c>
      <c r="J20" s="180" t="str">
        <f t="shared" si="3"/>
        <v>HAU4</v>
      </c>
      <c r="K20" s="181">
        <v>16</v>
      </c>
      <c r="L20" s="184">
        <v>21490.17</v>
      </c>
      <c r="M20" s="180" t="str">
        <f t="shared" si="4"/>
        <v>B1</v>
      </c>
      <c r="N20" s="181">
        <v>16</v>
      </c>
      <c r="O20" s="184">
        <v>21074.880000000001</v>
      </c>
      <c r="P20" s="180" t="str">
        <f t="shared" si="5"/>
        <v>B2</v>
      </c>
      <c r="Q20" s="181">
        <v>16</v>
      </c>
      <c r="R20" s="184">
        <v>22450.639999999999</v>
      </c>
      <c r="S20" s="180" t="str">
        <f t="shared" si="6"/>
        <v>B3</v>
      </c>
      <c r="T20" s="181">
        <v>16</v>
      </c>
      <c r="U20" s="184">
        <v>22931.51</v>
      </c>
      <c r="V20" s="180" t="str">
        <f t="shared" si="7"/>
        <v>B4</v>
      </c>
      <c r="W20" s="181">
        <v>16</v>
      </c>
      <c r="X20" s="184">
        <v>24312</v>
      </c>
      <c r="Y20" s="180" t="str">
        <f t="shared" si="8"/>
        <v>B5</v>
      </c>
      <c r="Z20" s="181">
        <v>16</v>
      </c>
      <c r="AA20" s="184">
        <v>26012</v>
      </c>
      <c r="AB20" s="180" t="str">
        <f t="shared" si="9"/>
        <v>M1.1</v>
      </c>
      <c r="AC20" s="181">
        <v>16</v>
      </c>
      <c r="AD20" s="184">
        <v>25626.21</v>
      </c>
      <c r="AE20" s="180" t="str">
        <f t="shared" si="10"/>
        <v>M1.2</v>
      </c>
      <c r="AF20" s="288">
        <v>16</v>
      </c>
      <c r="AG20" s="184">
        <v>27892.05</v>
      </c>
      <c r="AH20" s="180" t="str">
        <f t="shared" si="11"/>
        <v>M2.1</v>
      </c>
      <c r="AI20" s="181">
        <v>16</v>
      </c>
      <c r="AJ20" s="184">
        <v>27800.14</v>
      </c>
      <c r="AK20" s="180" t="str">
        <f t="shared" si="12"/>
        <v>M2.2</v>
      </c>
      <c r="AL20" s="288">
        <v>16</v>
      </c>
      <c r="AM20" s="184">
        <v>30261.7</v>
      </c>
      <c r="AN20" s="180" t="str">
        <f t="shared" si="13"/>
        <v>M3.1</v>
      </c>
      <c r="AO20" s="181">
        <v>16</v>
      </c>
      <c r="AP20" s="184">
        <v>28454.62</v>
      </c>
      <c r="AQ20" s="180" t="str">
        <f t="shared" si="14"/>
        <v>M3.2</v>
      </c>
      <c r="AR20" s="288">
        <v>16</v>
      </c>
      <c r="AS20" s="184">
        <v>30974.99</v>
      </c>
      <c r="AT20" s="180" t="str">
        <f t="shared" si="15"/>
        <v>M4.1</v>
      </c>
      <c r="AU20" s="181">
        <v>16</v>
      </c>
      <c r="AV20" s="184">
        <v>29453.66</v>
      </c>
      <c r="AW20" s="180" t="str">
        <f t="shared" si="16"/>
        <v>M4.2</v>
      </c>
      <c r="AX20" s="288">
        <v>16</v>
      </c>
      <c r="AY20" s="184">
        <v>32064.01</v>
      </c>
      <c r="AZ20" s="180" t="str">
        <f t="shared" si="17"/>
        <v>M5.1</v>
      </c>
      <c r="BA20" s="181">
        <v>16</v>
      </c>
      <c r="BB20" s="184">
        <v>31060</v>
      </c>
      <c r="BC20" s="180" t="str">
        <f t="shared" si="18"/>
        <v>M5.2</v>
      </c>
      <c r="BD20" s="288">
        <v>16</v>
      </c>
      <c r="BE20" s="183">
        <v>32514.01</v>
      </c>
      <c r="BF20" s="180" t="str">
        <f t="shared" si="19"/>
        <v>M6</v>
      </c>
      <c r="BG20" s="181">
        <v>16</v>
      </c>
      <c r="BH20" s="184">
        <v>29449.85</v>
      </c>
      <c r="BI20" s="180" t="str">
        <f t="shared" si="20"/>
        <v>M7</v>
      </c>
      <c r="BJ20" s="181">
        <v>16</v>
      </c>
      <c r="BK20" s="184">
        <v>31594.06</v>
      </c>
      <c r="BL20" s="180" t="str">
        <f t="shared" si="21"/>
        <v>M7bis</v>
      </c>
      <c r="BM20" s="181">
        <v>16</v>
      </c>
      <c r="BN20" s="183">
        <v>32548.52</v>
      </c>
      <c r="BO20" s="180" t="s">
        <v>15</v>
      </c>
      <c r="BP20" s="181">
        <v>16</v>
      </c>
      <c r="BQ20" s="182">
        <v>1955000</v>
      </c>
    </row>
    <row r="21" spans="1:69" x14ac:dyDescent="0.2">
      <c r="A21" s="180" t="str">
        <f t="shared" si="0"/>
        <v>HAU1</v>
      </c>
      <c r="B21" s="181">
        <v>17</v>
      </c>
      <c r="C21" s="183">
        <v>18651.98</v>
      </c>
      <c r="D21" s="180" t="str">
        <f t="shared" si="1"/>
        <v>HAU2</v>
      </c>
      <c r="E21" s="181">
        <v>17</v>
      </c>
      <c r="F21" s="184">
        <v>19463.55</v>
      </c>
      <c r="G21" s="180" t="str">
        <f t="shared" si="2"/>
        <v>HAU3</v>
      </c>
      <c r="H21" s="181">
        <v>17</v>
      </c>
      <c r="I21" s="184">
        <v>21228.57</v>
      </c>
      <c r="J21" s="180" t="str">
        <f t="shared" si="3"/>
        <v>HAU4</v>
      </c>
      <c r="K21" s="181">
        <v>17</v>
      </c>
      <c r="L21" s="184">
        <v>21678.57</v>
      </c>
      <c r="M21" s="180" t="str">
        <f t="shared" si="4"/>
        <v>B1</v>
      </c>
      <c r="N21" s="181">
        <v>17</v>
      </c>
      <c r="O21" s="184">
        <v>21273.200000000001</v>
      </c>
      <c r="P21" s="180" t="str">
        <f t="shared" si="5"/>
        <v>B2</v>
      </c>
      <c r="Q21" s="181">
        <v>17</v>
      </c>
      <c r="R21" s="184">
        <v>22698.54</v>
      </c>
      <c r="S21" s="180" t="str">
        <f t="shared" si="6"/>
        <v>B3</v>
      </c>
      <c r="T21" s="181">
        <v>17</v>
      </c>
      <c r="U21" s="184">
        <v>23162.06</v>
      </c>
      <c r="V21" s="180" t="str">
        <f t="shared" si="7"/>
        <v>B4</v>
      </c>
      <c r="W21" s="181">
        <v>17</v>
      </c>
      <c r="X21" s="184">
        <v>24512</v>
      </c>
      <c r="Y21" s="180" t="str">
        <f t="shared" si="8"/>
        <v>B5</v>
      </c>
      <c r="Z21" s="181">
        <v>17</v>
      </c>
      <c r="AA21" s="184">
        <v>26212</v>
      </c>
      <c r="AB21" s="180" t="str">
        <f t="shared" si="9"/>
        <v>M1.1</v>
      </c>
      <c r="AC21" s="181">
        <v>17</v>
      </c>
      <c r="AD21" s="184">
        <v>25913.77</v>
      </c>
      <c r="AE21" s="180" t="str">
        <f t="shared" si="10"/>
        <v>M1.2</v>
      </c>
      <c r="AF21" s="288">
        <v>17</v>
      </c>
      <c r="AG21" s="184">
        <v>28205.49</v>
      </c>
      <c r="AH21" s="180" t="str">
        <f t="shared" si="11"/>
        <v>M2.1</v>
      </c>
      <c r="AI21" s="181">
        <v>17</v>
      </c>
      <c r="AJ21" s="184">
        <v>28105.05</v>
      </c>
      <c r="AK21" s="180" t="str">
        <f t="shared" si="12"/>
        <v>M2.2</v>
      </c>
      <c r="AL21" s="288">
        <v>17</v>
      </c>
      <c r="AM21" s="184">
        <v>30594.06</v>
      </c>
      <c r="AN21" s="180" t="str">
        <f t="shared" si="13"/>
        <v>M3.1</v>
      </c>
      <c r="AO21" s="181">
        <v>17</v>
      </c>
      <c r="AP21" s="184">
        <v>28776.89</v>
      </c>
      <c r="AQ21" s="180" t="str">
        <f t="shared" si="14"/>
        <v>M3.2</v>
      </c>
      <c r="AR21" s="288">
        <v>17</v>
      </c>
      <c r="AS21" s="184">
        <v>31326.26</v>
      </c>
      <c r="AT21" s="180" t="str">
        <f t="shared" si="15"/>
        <v>M4.1</v>
      </c>
      <c r="AU21" s="181">
        <v>17</v>
      </c>
      <c r="AV21" s="184">
        <v>29800.720000000001</v>
      </c>
      <c r="AW21" s="180" t="str">
        <f t="shared" si="16"/>
        <v>M4.2</v>
      </c>
      <c r="AX21" s="288">
        <v>17</v>
      </c>
      <c r="AY21" s="184">
        <v>32442.3</v>
      </c>
      <c r="AZ21" s="180" t="str">
        <f t="shared" si="17"/>
        <v>M5.1</v>
      </c>
      <c r="BA21" s="181">
        <v>17</v>
      </c>
      <c r="BB21" s="184">
        <v>31330</v>
      </c>
      <c r="BC21" s="180" t="str">
        <f t="shared" si="18"/>
        <v>M5.2</v>
      </c>
      <c r="BD21" s="288">
        <v>17</v>
      </c>
      <c r="BE21" s="183">
        <v>32892.300000000003</v>
      </c>
      <c r="BF21" s="180" t="str">
        <f t="shared" si="19"/>
        <v>M6</v>
      </c>
      <c r="BG21" s="181">
        <v>17</v>
      </c>
      <c r="BH21" s="184">
        <v>29796.91</v>
      </c>
      <c r="BI21" s="180" t="str">
        <f t="shared" si="20"/>
        <v>M7</v>
      </c>
      <c r="BJ21" s="181">
        <v>17</v>
      </c>
      <c r="BK21" s="184">
        <v>31916.33</v>
      </c>
      <c r="BL21" s="180" t="str">
        <f t="shared" si="21"/>
        <v>M7bis</v>
      </c>
      <c r="BM21" s="181">
        <v>17</v>
      </c>
      <c r="BN21" s="184">
        <v>32870.79</v>
      </c>
      <c r="BO21" s="180" t="s">
        <v>15</v>
      </c>
      <c r="BP21" s="181">
        <v>17</v>
      </c>
      <c r="BQ21" s="182">
        <v>1970000</v>
      </c>
    </row>
    <row r="22" spans="1:69" x14ac:dyDescent="0.2">
      <c r="A22" s="180" t="str">
        <f t="shared" si="0"/>
        <v>HAU1</v>
      </c>
      <c r="B22" s="181">
        <v>18</v>
      </c>
      <c r="C22" s="183">
        <v>18788.330000000002</v>
      </c>
      <c r="D22" s="180" t="str">
        <f t="shared" si="1"/>
        <v>HAU2</v>
      </c>
      <c r="E22" s="181">
        <v>18</v>
      </c>
      <c r="F22" s="184">
        <v>19612.29</v>
      </c>
      <c r="G22" s="180" t="str">
        <f t="shared" si="2"/>
        <v>HAU3</v>
      </c>
      <c r="H22" s="181">
        <v>18</v>
      </c>
      <c r="I22" s="184">
        <v>21416.97</v>
      </c>
      <c r="J22" s="180" t="str">
        <f t="shared" si="3"/>
        <v>HAU4</v>
      </c>
      <c r="K22" s="181">
        <v>18</v>
      </c>
      <c r="L22" s="184">
        <v>21866.97</v>
      </c>
      <c r="M22" s="180" t="str">
        <f t="shared" si="4"/>
        <v>B1</v>
      </c>
      <c r="N22" s="181">
        <v>18</v>
      </c>
      <c r="O22" s="184">
        <v>21471.52</v>
      </c>
      <c r="P22" s="180" t="str">
        <f t="shared" si="5"/>
        <v>B2</v>
      </c>
      <c r="Q22" s="181">
        <v>18</v>
      </c>
      <c r="R22" s="184">
        <v>22946.44</v>
      </c>
      <c r="S22" s="180" t="str">
        <f t="shared" si="6"/>
        <v>B3</v>
      </c>
      <c r="T22" s="181">
        <v>18</v>
      </c>
      <c r="U22" s="184">
        <v>23392.61</v>
      </c>
      <c r="V22" s="180" t="str">
        <f t="shared" si="7"/>
        <v>B4</v>
      </c>
      <c r="W22" s="181">
        <v>18</v>
      </c>
      <c r="X22" s="184">
        <v>24712</v>
      </c>
      <c r="Y22" s="180" t="str">
        <f t="shared" si="8"/>
        <v>B5</v>
      </c>
      <c r="Z22" s="181">
        <v>18</v>
      </c>
      <c r="AA22" s="184">
        <v>26412</v>
      </c>
      <c r="AB22" s="180" t="str">
        <f t="shared" si="9"/>
        <v>M1.1</v>
      </c>
      <c r="AC22" s="181">
        <v>18</v>
      </c>
      <c r="AD22" s="184">
        <v>26201.33</v>
      </c>
      <c r="AE22" s="180" t="str">
        <f t="shared" si="10"/>
        <v>M1.2</v>
      </c>
      <c r="AF22" s="288">
        <v>18</v>
      </c>
      <c r="AG22" s="184">
        <v>28518.93</v>
      </c>
      <c r="AH22" s="180" t="str">
        <f t="shared" si="11"/>
        <v>M2.1</v>
      </c>
      <c r="AI22" s="181">
        <v>18</v>
      </c>
      <c r="AJ22" s="184">
        <v>28409.96</v>
      </c>
      <c r="AK22" s="180" t="str">
        <f t="shared" si="12"/>
        <v>M2.2</v>
      </c>
      <c r="AL22" s="288">
        <v>18</v>
      </c>
      <c r="AM22" s="184">
        <v>30926.42</v>
      </c>
      <c r="AN22" s="180" t="str">
        <f t="shared" si="13"/>
        <v>M3.1</v>
      </c>
      <c r="AO22" s="181">
        <v>18</v>
      </c>
      <c r="AP22" s="184">
        <v>29099.16</v>
      </c>
      <c r="AQ22" s="180" t="str">
        <f t="shared" si="14"/>
        <v>M3.2</v>
      </c>
      <c r="AR22" s="288">
        <v>18</v>
      </c>
      <c r="AS22" s="184">
        <v>31677.53</v>
      </c>
      <c r="AT22" s="180" t="str">
        <f t="shared" si="15"/>
        <v>M4.1</v>
      </c>
      <c r="AU22" s="181">
        <v>18</v>
      </c>
      <c r="AV22" s="184">
        <v>30147.78</v>
      </c>
      <c r="AW22" s="180" t="str">
        <f t="shared" si="16"/>
        <v>M4.2</v>
      </c>
      <c r="AX22" s="288">
        <v>18</v>
      </c>
      <c r="AY22" s="184">
        <v>32820.589999999997</v>
      </c>
      <c r="AZ22" s="180" t="str">
        <f t="shared" si="17"/>
        <v>M5.1</v>
      </c>
      <c r="BA22" s="181">
        <v>18</v>
      </c>
      <c r="BB22" s="184">
        <v>31600</v>
      </c>
      <c r="BC22" s="180" t="str">
        <f t="shared" si="18"/>
        <v>M5.2</v>
      </c>
      <c r="BD22" s="288">
        <v>18</v>
      </c>
      <c r="BE22" s="183">
        <v>33270.589999999997</v>
      </c>
      <c r="BF22" s="180" t="str">
        <f t="shared" si="19"/>
        <v>M6</v>
      </c>
      <c r="BG22" s="181">
        <v>18</v>
      </c>
      <c r="BH22" s="184">
        <v>30143.97</v>
      </c>
      <c r="BI22" s="180" t="str">
        <f t="shared" si="20"/>
        <v>M7</v>
      </c>
      <c r="BJ22" s="181">
        <v>18</v>
      </c>
      <c r="BK22" s="184">
        <v>32238.6</v>
      </c>
      <c r="BL22" s="180" t="str">
        <f t="shared" si="21"/>
        <v>M7bis</v>
      </c>
      <c r="BM22" s="181">
        <v>18</v>
      </c>
      <c r="BN22" s="184">
        <v>33193.06</v>
      </c>
      <c r="BO22" s="180" t="s">
        <v>15</v>
      </c>
      <c r="BP22" s="181">
        <v>18</v>
      </c>
      <c r="BQ22" s="182">
        <v>1985000</v>
      </c>
    </row>
    <row r="23" spans="1:69" x14ac:dyDescent="0.2">
      <c r="A23" s="180" t="str">
        <f t="shared" si="0"/>
        <v>HAU1</v>
      </c>
      <c r="B23" s="181">
        <v>19</v>
      </c>
      <c r="C23" s="183">
        <v>18924.68</v>
      </c>
      <c r="D23" s="180" t="str">
        <f t="shared" si="1"/>
        <v>HAU2</v>
      </c>
      <c r="E23" s="181">
        <v>19</v>
      </c>
      <c r="F23" s="184">
        <v>19761.03</v>
      </c>
      <c r="G23" s="180" t="str">
        <f t="shared" si="2"/>
        <v>HAU3</v>
      </c>
      <c r="H23" s="181">
        <v>19</v>
      </c>
      <c r="I23" s="184">
        <v>21605.37</v>
      </c>
      <c r="J23" s="180" t="str">
        <f t="shared" si="3"/>
        <v>HAU4</v>
      </c>
      <c r="K23" s="181">
        <v>19</v>
      </c>
      <c r="L23" s="184">
        <v>22055.37</v>
      </c>
      <c r="M23" s="180" t="str">
        <f t="shared" si="4"/>
        <v>B1</v>
      </c>
      <c r="N23" s="181">
        <v>19</v>
      </c>
      <c r="O23" s="184">
        <v>21669.84</v>
      </c>
      <c r="P23" s="180" t="str">
        <f t="shared" si="5"/>
        <v>B2</v>
      </c>
      <c r="Q23" s="181">
        <v>19</v>
      </c>
      <c r="R23" s="184">
        <v>23194.34</v>
      </c>
      <c r="S23" s="180" t="str">
        <f t="shared" si="6"/>
        <v>B3</v>
      </c>
      <c r="T23" s="181">
        <v>19</v>
      </c>
      <c r="U23" s="184">
        <v>23623.16</v>
      </c>
      <c r="V23" s="180" t="str">
        <f t="shared" si="7"/>
        <v>B4</v>
      </c>
      <c r="W23" s="181">
        <v>19</v>
      </c>
      <c r="X23" s="184">
        <v>24911</v>
      </c>
      <c r="Y23" s="180" t="str">
        <f t="shared" si="8"/>
        <v>B5</v>
      </c>
      <c r="Z23" s="181">
        <v>19</v>
      </c>
      <c r="AA23" s="184">
        <v>26611</v>
      </c>
      <c r="AB23" s="180" t="str">
        <f t="shared" si="9"/>
        <v>M1.1</v>
      </c>
      <c r="AC23" s="181">
        <v>19</v>
      </c>
      <c r="AD23" s="184">
        <v>26488.89</v>
      </c>
      <c r="AE23" s="180" t="str">
        <f t="shared" si="10"/>
        <v>M1.2</v>
      </c>
      <c r="AF23" s="288">
        <v>19</v>
      </c>
      <c r="AG23" s="184">
        <v>28832.37</v>
      </c>
      <c r="AH23" s="180" t="str">
        <f t="shared" si="11"/>
        <v>M2.1</v>
      </c>
      <c r="AI23" s="181">
        <v>19</v>
      </c>
      <c r="AJ23" s="184">
        <v>28714.87</v>
      </c>
      <c r="AK23" s="180" t="str">
        <f t="shared" si="12"/>
        <v>M2.2</v>
      </c>
      <c r="AL23" s="288">
        <v>19</v>
      </c>
      <c r="AM23" s="184">
        <v>31258.78</v>
      </c>
      <c r="AN23" s="180" t="str">
        <f t="shared" si="13"/>
        <v>M3.1</v>
      </c>
      <c r="AO23" s="181">
        <v>19</v>
      </c>
      <c r="AP23" s="184">
        <v>29421.43</v>
      </c>
      <c r="AQ23" s="180" t="str">
        <f t="shared" si="14"/>
        <v>M3.2</v>
      </c>
      <c r="AR23" s="288">
        <v>19</v>
      </c>
      <c r="AS23" s="184">
        <v>32028.799999999999</v>
      </c>
      <c r="AT23" s="180" t="str">
        <f t="shared" si="15"/>
        <v>M4.1</v>
      </c>
      <c r="AU23" s="181">
        <v>19</v>
      </c>
      <c r="AV23" s="184">
        <v>30494.84</v>
      </c>
      <c r="AW23" s="180" t="str">
        <f t="shared" si="16"/>
        <v>M4.2</v>
      </c>
      <c r="AX23" s="288">
        <v>19</v>
      </c>
      <c r="AY23" s="184">
        <v>33198.879999999997</v>
      </c>
      <c r="AZ23" s="180" t="str">
        <f t="shared" si="17"/>
        <v>M5.1</v>
      </c>
      <c r="BA23" s="181">
        <v>19</v>
      </c>
      <c r="BB23" s="184">
        <v>31869</v>
      </c>
      <c r="BC23" s="180" t="str">
        <f t="shared" si="18"/>
        <v>M5.2</v>
      </c>
      <c r="BD23" s="288">
        <v>19</v>
      </c>
      <c r="BE23" s="183">
        <v>33648.879999999997</v>
      </c>
      <c r="BF23" s="180" t="str">
        <f t="shared" si="19"/>
        <v>M6</v>
      </c>
      <c r="BG23" s="181">
        <v>19</v>
      </c>
      <c r="BH23" s="184">
        <v>30491.03</v>
      </c>
      <c r="BI23" s="180" t="str">
        <f t="shared" si="20"/>
        <v>M7</v>
      </c>
      <c r="BJ23" s="181">
        <v>19</v>
      </c>
      <c r="BK23" s="184">
        <v>32560.87</v>
      </c>
      <c r="BL23" s="180" t="str">
        <f t="shared" si="21"/>
        <v>M7bis</v>
      </c>
      <c r="BM23" s="181">
        <v>19</v>
      </c>
      <c r="BN23" s="184">
        <v>33515.33</v>
      </c>
      <c r="BO23" s="180" t="s">
        <v>15</v>
      </c>
      <c r="BP23" s="181">
        <v>19</v>
      </c>
      <c r="BQ23" s="182">
        <v>2000000</v>
      </c>
    </row>
    <row r="24" spans="1:69" x14ac:dyDescent="0.2">
      <c r="A24" s="180" t="str">
        <f t="shared" si="0"/>
        <v>HAU1</v>
      </c>
      <c r="B24" s="181">
        <v>20</v>
      </c>
      <c r="C24" s="183">
        <v>18967.57</v>
      </c>
      <c r="D24" s="180" t="str">
        <f t="shared" si="1"/>
        <v>HAU2</v>
      </c>
      <c r="E24" s="181">
        <v>20</v>
      </c>
      <c r="F24" s="184">
        <v>19909.77</v>
      </c>
      <c r="G24" s="180" t="str">
        <f t="shared" si="2"/>
        <v>HAU3</v>
      </c>
      <c r="H24" s="181">
        <v>20</v>
      </c>
      <c r="I24" s="184">
        <v>21793.77</v>
      </c>
      <c r="J24" s="180" t="str">
        <f t="shared" si="3"/>
        <v>HAU4</v>
      </c>
      <c r="K24" s="181">
        <v>20</v>
      </c>
      <c r="L24" s="184">
        <v>22243.77</v>
      </c>
      <c r="M24" s="180" t="str">
        <f t="shared" si="4"/>
        <v>B1</v>
      </c>
      <c r="N24" s="181">
        <v>20</v>
      </c>
      <c r="O24" s="184">
        <v>21868.16</v>
      </c>
      <c r="P24" s="180" t="str">
        <f t="shared" si="5"/>
        <v>B2</v>
      </c>
      <c r="Q24" s="181">
        <v>20</v>
      </c>
      <c r="R24" s="184">
        <v>23442.240000000002</v>
      </c>
      <c r="S24" s="180" t="str">
        <f t="shared" si="6"/>
        <v>B3</v>
      </c>
      <c r="T24" s="181">
        <v>20</v>
      </c>
      <c r="U24" s="184">
        <v>23853.71</v>
      </c>
      <c r="V24" s="180" t="str">
        <f t="shared" si="7"/>
        <v>B4</v>
      </c>
      <c r="W24" s="181">
        <v>20</v>
      </c>
      <c r="X24" s="184">
        <v>25111</v>
      </c>
      <c r="Y24" s="180" t="str">
        <f t="shared" si="8"/>
        <v>B5</v>
      </c>
      <c r="Z24" s="181">
        <v>20</v>
      </c>
      <c r="AA24" s="184">
        <v>26811</v>
      </c>
      <c r="AB24" s="180" t="str">
        <f t="shared" si="9"/>
        <v>M1.1</v>
      </c>
      <c r="AC24" s="181">
        <v>20</v>
      </c>
      <c r="AD24" s="184">
        <v>26776.45</v>
      </c>
      <c r="AE24" s="180" t="str">
        <f t="shared" si="10"/>
        <v>M1.2</v>
      </c>
      <c r="AF24" s="288">
        <v>20</v>
      </c>
      <c r="AG24" s="184">
        <v>29145.81</v>
      </c>
      <c r="AH24" s="180" t="str">
        <f t="shared" si="11"/>
        <v>M2.1</v>
      </c>
      <c r="AI24" s="181">
        <v>20</v>
      </c>
      <c r="AJ24" s="184">
        <v>29019.78</v>
      </c>
      <c r="AK24" s="180" t="str">
        <f t="shared" si="12"/>
        <v>M2.2</v>
      </c>
      <c r="AL24" s="288">
        <v>20</v>
      </c>
      <c r="AM24" s="184">
        <v>31591.14</v>
      </c>
      <c r="AN24" s="180" t="str">
        <f t="shared" si="13"/>
        <v>M3.1</v>
      </c>
      <c r="AO24" s="181">
        <v>20</v>
      </c>
      <c r="AP24" s="184">
        <v>29743.7</v>
      </c>
      <c r="AQ24" s="180" t="str">
        <f t="shared" si="14"/>
        <v>M3.2</v>
      </c>
      <c r="AR24" s="288">
        <v>20</v>
      </c>
      <c r="AS24" s="184">
        <v>32380.07</v>
      </c>
      <c r="AT24" s="180" t="str">
        <f t="shared" si="15"/>
        <v>M4.1</v>
      </c>
      <c r="AU24" s="181">
        <v>20</v>
      </c>
      <c r="AV24" s="184">
        <v>30841.9</v>
      </c>
      <c r="AW24" s="180" t="str">
        <f t="shared" si="16"/>
        <v>M4.2</v>
      </c>
      <c r="AX24" s="288">
        <v>20</v>
      </c>
      <c r="AY24" s="184">
        <v>33577.17</v>
      </c>
      <c r="AZ24" s="180" t="str">
        <f t="shared" si="17"/>
        <v>M5.1</v>
      </c>
      <c r="BA24" s="181">
        <v>20</v>
      </c>
      <c r="BB24" s="184">
        <v>32139</v>
      </c>
      <c r="BC24" s="180" t="str">
        <f t="shared" si="18"/>
        <v>M5.2</v>
      </c>
      <c r="BD24" s="288">
        <v>20</v>
      </c>
      <c r="BE24" s="183">
        <v>34027.17</v>
      </c>
      <c r="BF24" s="180" t="str">
        <f t="shared" si="19"/>
        <v>M6</v>
      </c>
      <c r="BG24" s="181">
        <v>20</v>
      </c>
      <c r="BH24" s="184">
        <v>30838.09</v>
      </c>
      <c r="BI24" s="180" t="str">
        <f t="shared" si="20"/>
        <v>M7</v>
      </c>
      <c r="BJ24" s="181">
        <v>20</v>
      </c>
      <c r="BK24" s="184">
        <v>32883.14</v>
      </c>
      <c r="BL24" s="180" t="str">
        <f t="shared" si="21"/>
        <v>M7bis</v>
      </c>
      <c r="BM24" s="181">
        <v>20</v>
      </c>
      <c r="BN24" s="184">
        <v>33837.599999999999</v>
      </c>
      <c r="BO24" s="180" t="s">
        <v>15</v>
      </c>
      <c r="BP24" s="181">
        <v>20</v>
      </c>
      <c r="BQ24" s="182">
        <v>2015000</v>
      </c>
    </row>
    <row r="25" spans="1:69" x14ac:dyDescent="0.2">
      <c r="A25" s="180" t="str">
        <f t="shared" si="0"/>
        <v>HAU1</v>
      </c>
      <c r="B25" s="181">
        <v>21</v>
      </c>
      <c r="C25" s="183">
        <v>19017.38</v>
      </c>
      <c r="D25" s="180" t="str">
        <f t="shared" si="1"/>
        <v>HAU2</v>
      </c>
      <c r="E25" s="181">
        <v>21</v>
      </c>
      <c r="F25" s="184">
        <v>20058.509999999998</v>
      </c>
      <c r="G25" s="180" t="str">
        <f t="shared" si="2"/>
        <v>HAU3</v>
      </c>
      <c r="H25" s="181">
        <v>21</v>
      </c>
      <c r="I25" s="184">
        <v>21982.17</v>
      </c>
      <c r="J25" s="180" t="str">
        <f t="shared" si="3"/>
        <v>HAU4</v>
      </c>
      <c r="K25" s="181">
        <v>21</v>
      </c>
      <c r="L25" s="184">
        <v>22432.17</v>
      </c>
      <c r="M25" s="180" t="str">
        <f t="shared" si="4"/>
        <v>B1</v>
      </c>
      <c r="N25" s="181">
        <v>21</v>
      </c>
      <c r="O25" s="184">
        <v>22066.48</v>
      </c>
      <c r="P25" s="180" t="str">
        <f t="shared" si="5"/>
        <v>B2</v>
      </c>
      <c r="Q25" s="181">
        <v>21</v>
      </c>
      <c r="R25" s="184">
        <v>23603.38</v>
      </c>
      <c r="S25" s="180" t="str">
        <f t="shared" si="6"/>
        <v>B3</v>
      </c>
      <c r="T25" s="181">
        <v>21</v>
      </c>
      <c r="U25" s="184">
        <v>24084.26</v>
      </c>
      <c r="V25" s="180" t="str">
        <f t="shared" si="7"/>
        <v>B4</v>
      </c>
      <c r="W25" s="181">
        <v>21</v>
      </c>
      <c r="X25" s="184">
        <v>25311</v>
      </c>
      <c r="Y25" s="180" t="str">
        <f t="shared" si="8"/>
        <v>B5</v>
      </c>
      <c r="Z25" s="181">
        <v>21</v>
      </c>
      <c r="AA25" s="184">
        <v>27011</v>
      </c>
      <c r="AB25" s="180" t="str">
        <f t="shared" si="9"/>
        <v>M1.1</v>
      </c>
      <c r="AC25" s="181">
        <v>21</v>
      </c>
      <c r="AD25" s="184">
        <v>27064.02</v>
      </c>
      <c r="AE25" s="180" t="str">
        <f t="shared" si="10"/>
        <v>M1.2</v>
      </c>
      <c r="AF25" s="288">
        <v>21</v>
      </c>
      <c r="AG25" s="184">
        <v>29459.25</v>
      </c>
      <c r="AH25" s="180" t="str">
        <f t="shared" si="11"/>
        <v>M2.1</v>
      </c>
      <c r="AI25" s="181">
        <v>21</v>
      </c>
      <c r="AJ25" s="184">
        <v>29324.69</v>
      </c>
      <c r="AK25" s="180" t="str">
        <f t="shared" si="12"/>
        <v>M2.2</v>
      </c>
      <c r="AL25" s="288">
        <v>21</v>
      </c>
      <c r="AM25" s="184">
        <v>31923.5</v>
      </c>
      <c r="AN25" s="180" t="str">
        <f t="shared" si="13"/>
        <v>M3.1</v>
      </c>
      <c r="AO25" s="181">
        <v>21</v>
      </c>
      <c r="AP25" s="184">
        <v>30065.97</v>
      </c>
      <c r="AQ25" s="180" t="str">
        <f t="shared" si="14"/>
        <v>M3.2</v>
      </c>
      <c r="AR25" s="288">
        <v>21</v>
      </c>
      <c r="AS25" s="184">
        <v>32731.34</v>
      </c>
      <c r="AT25" s="180" t="str">
        <f t="shared" si="15"/>
        <v>M4.1</v>
      </c>
      <c r="AU25" s="181">
        <v>21</v>
      </c>
      <c r="AV25" s="184">
        <v>31188.959999999999</v>
      </c>
      <c r="AW25" s="180" t="str">
        <f t="shared" si="16"/>
        <v>M4.2</v>
      </c>
      <c r="AX25" s="288">
        <v>21</v>
      </c>
      <c r="AY25" s="184">
        <v>33955.46</v>
      </c>
      <c r="AZ25" s="180" t="str">
        <f t="shared" si="17"/>
        <v>M5.1</v>
      </c>
      <c r="BA25" s="181">
        <v>21</v>
      </c>
      <c r="BB25" s="184">
        <v>32409</v>
      </c>
      <c r="BC25" s="180" t="str">
        <f t="shared" si="18"/>
        <v>M5.2</v>
      </c>
      <c r="BD25" s="288">
        <v>21</v>
      </c>
      <c r="BE25" s="183">
        <v>34405.46</v>
      </c>
      <c r="BF25" s="180" t="str">
        <f t="shared" si="19"/>
        <v>M6</v>
      </c>
      <c r="BG25" s="181">
        <v>21</v>
      </c>
      <c r="BH25" s="184">
        <v>31185.15</v>
      </c>
      <c r="BI25" s="180" t="str">
        <f t="shared" si="20"/>
        <v>M7</v>
      </c>
      <c r="BJ25" s="181">
        <v>21</v>
      </c>
      <c r="BK25" s="184">
        <v>33205.410000000003</v>
      </c>
      <c r="BL25" s="180" t="str">
        <f t="shared" si="21"/>
        <v>M7bis</v>
      </c>
      <c r="BM25" s="181">
        <v>21</v>
      </c>
      <c r="BN25" s="184">
        <v>34159.870000000003</v>
      </c>
      <c r="BO25" s="180" t="s">
        <v>15</v>
      </c>
      <c r="BP25" s="181">
        <v>21</v>
      </c>
      <c r="BQ25" s="182">
        <v>2030000</v>
      </c>
    </row>
    <row r="26" spans="1:69" x14ac:dyDescent="0.2">
      <c r="A26" s="180" t="str">
        <f t="shared" si="0"/>
        <v>HAU1</v>
      </c>
      <c r="B26" s="181">
        <v>22</v>
      </c>
      <c r="C26" s="183">
        <v>19153.73</v>
      </c>
      <c r="D26" s="180" t="str">
        <f t="shared" si="1"/>
        <v>HAU2</v>
      </c>
      <c r="E26" s="181">
        <v>22</v>
      </c>
      <c r="F26" s="184">
        <v>20207.25</v>
      </c>
      <c r="G26" s="180" t="str">
        <f t="shared" si="2"/>
        <v>HAU3</v>
      </c>
      <c r="H26" s="181">
        <v>22</v>
      </c>
      <c r="I26" s="184">
        <v>22170.57</v>
      </c>
      <c r="J26" s="180" t="str">
        <f t="shared" si="3"/>
        <v>HAU4</v>
      </c>
      <c r="K26" s="181">
        <v>22</v>
      </c>
      <c r="L26" s="184">
        <v>22620.57</v>
      </c>
      <c r="M26" s="180" t="str">
        <f t="shared" si="4"/>
        <v>B1</v>
      </c>
      <c r="N26" s="181">
        <v>22</v>
      </c>
      <c r="O26" s="184">
        <v>22264.799999999999</v>
      </c>
      <c r="P26" s="180" t="str">
        <f t="shared" si="5"/>
        <v>B2</v>
      </c>
      <c r="Q26" s="181">
        <v>22</v>
      </c>
      <c r="R26" s="184">
        <v>23764.52</v>
      </c>
      <c r="S26" s="180" t="str">
        <f t="shared" si="6"/>
        <v>B3</v>
      </c>
      <c r="T26" s="181">
        <v>22</v>
      </c>
      <c r="U26" s="184">
        <v>24314.81</v>
      </c>
      <c r="V26" s="180" t="str">
        <f t="shared" si="7"/>
        <v>B4</v>
      </c>
      <c r="W26" s="181">
        <v>22</v>
      </c>
      <c r="X26" s="184">
        <v>25537</v>
      </c>
      <c r="Y26" s="180" t="str">
        <f t="shared" si="8"/>
        <v>B5</v>
      </c>
      <c r="Z26" s="181">
        <v>22</v>
      </c>
      <c r="AA26" s="184">
        <v>27211</v>
      </c>
      <c r="AB26" s="180" t="str">
        <f t="shared" si="9"/>
        <v>M1.1</v>
      </c>
      <c r="AC26" s="181">
        <v>22</v>
      </c>
      <c r="AD26" s="184">
        <v>27351.57</v>
      </c>
      <c r="AE26" s="180" t="str">
        <f t="shared" si="10"/>
        <v>M1.2</v>
      </c>
      <c r="AF26" s="288">
        <v>22</v>
      </c>
      <c r="AG26" s="184">
        <v>29772.69</v>
      </c>
      <c r="AH26" s="180" t="str">
        <f t="shared" si="11"/>
        <v>M2.1</v>
      </c>
      <c r="AI26" s="181">
        <v>22</v>
      </c>
      <c r="AJ26" s="184">
        <v>29629.599999999999</v>
      </c>
      <c r="AK26" s="180" t="str">
        <f t="shared" si="12"/>
        <v>M2.2</v>
      </c>
      <c r="AL26" s="288">
        <v>22</v>
      </c>
      <c r="AM26" s="184">
        <v>32255.86</v>
      </c>
      <c r="AN26" s="180" t="str">
        <f t="shared" si="13"/>
        <v>M3.1</v>
      </c>
      <c r="AO26" s="181">
        <v>22</v>
      </c>
      <c r="AP26" s="184">
        <v>30388.240000000002</v>
      </c>
      <c r="AQ26" s="180" t="str">
        <f t="shared" si="14"/>
        <v>M3.2</v>
      </c>
      <c r="AR26" s="288">
        <v>22</v>
      </c>
      <c r="AS26" s="184">
        <v>33082.61</v>
      </c>
      <c r="AT26" s="180" t="str">
        <f t="shared" si="15"/>
        <v>M4.1</v>
      </c>
      <c r="AU26" s="181">
        <v>22</v>
      </c>
      <c r="AV26" s="184">
        <v>31536.02</v>
      </c>
      <c r="AW26" s="180" t="str">
        <f t="shared" si="16"/>
        <v>M4.2</v>
      </c>
      <c r="AX26" s="288">
        <v>22</v>
      </c>
      <c r="AY26" s="184">
        <v>34333.75</v>
      </c>
      <c r="AZ26" s="180" t="str">
        <f t="shared" si="17"/>
        <v>M5.1</v>
      </c>
      <c r="BA26" s="181">
        <v>22</v>
      </c>
      <c r="BB26" s="184">
        <v>32678</v>
      </c>
      <c r="BC26" s="180" t="str">
        <f t="shared" si="18"/>
        <v>M5.2</v>
      </c>
      <c r="BD26" s="288">
        <v>22</v>
      </c>
      <c r="BE26" s="183">
        <v>34783.75</v>
      </c>
      <c r="BF26" s="180" t="str">
        <f t="shared" si="19"/>
        <v>M6</v>
      </c>
      <c r="BG26" s="181">
        <v>22</v>
      </c>
      <c r="BH26" s="184">
        <v>31532.21</v>
      </c>
      <c r="BI26" s="180" t="str">
        <f t="shared" si="20"/>
        <v>M7</v>
      </c>
      <c r="BJ26" s="181">
        <v>22</v>
      </c>
      <c r="BK26" s="184">
        <v>33527.68</v>
      </c>
      <c r="BL26" s="180" t="str">
        <f t="shared" si="21"/>
        <v>M7bis</v>
      </c>
      <c r="BM26" s="181">
        <v>22</v>
      </c>
      <c r="BN26" s="184">
        <v>34482.14</v>
      </c>
      <c r="BO26" s="180" t="s">
        <v>15</v>
      </c>
      <c r="BP26" s="181">
        <v>22</v>
      </c>
      <c r="BQ26" s="182">
        <v>2045000</v>
      </c>
    </row>
    <row r="27" spans="1:69" x14ac:dyDescent="0.2">
      <c r="A27" s="180" t="str">
        <f t="shared" si="0"/>
        <v>HAU1</v>
      </c>
      <c r="B27" s="181">
        <v>23</v>
      </c>
      <c r="C27" s="183">
        <v>19290.080000000002</v>
      </c>
      <c r="D27" s="180" t="str">
        <f t="shared" si="1"/>
        <v>HAU2</v>
      </c>
      <c r="E27" s="181">
        <v>23</v>
      </c>
      <c r="F27" s="184">
        <v>20355.990000000002</v>
      </c>
      <c r="G27" s="180" t="str">
        <f t="shared" si="2"/>
        <v>HAU3</v>
      </c>
      <c r="H27" s="181">
        <v>23</v>
      </c>
      <c r="I27" s="184">
        <v>22358.97</v>
      </c>
      <c r="J27" s="180" t="str">
        <f t="shared" si="3"/>
        <v>HAU4</v>
      </c>
      <c r="K27" s="181">
        <v>23</v>
      </c>
      <c r="L27" s="184">
        <v>22808.97</v>
      </c>
      <c r="M27" s="180" t="str">
        <f t="shared" si="4"/>
        <v>B1</v>
      </c>
      <c r="N27" s="181">
        <v>23</v>
      </c>
      <c r="O27" s="184">
        <v>22463.119999999999</v>
      </c>
      <c r="P27" s="180" t="str">
        <f t="shared" si="5"/>
        <v>B2</v>
      </c>
      <c r="Q27" s="181">
        <v>23</v>
      </c>
      <c r="R27" s="184">
        <v>23925.66</v>
      </c>
      <c r="S27" s="180" t="str">
        <f t="shared" si="6"/>
        <v>B3</v>
      </c>
      <c r="T27" s="181">
        <v>23</v>
      </c>
      <c r="U27" s="184">
        <v>24545.360000000001</v>
      </c>
      <c r="V27" s="180" t="str">
        <f t="shared" si="7"/>
        <v>B4</v>
      </c>
      <c r="W27" s="181">
        <v>23</v>
      </c>
      <c r="X27" s="184">
        <v>25785</v>
      </c>
      <c r="Y27" s="180" t="str">
        <f t="shared" si="8"/>
        <v>B5</v>
      </c>
      <c r="Z27" s="181">
        <v>23</v>
      </c>
      <c r="AA27" s="184">
        <v>27410</v>
      </c>
      <c r="AB27" s="180" t="str">
        <f t="shared" si="9"/>
        <v>M1.1</v>
      </c>
      <c r="AC27" s="181">
        <v>23</v>
      </c>
      <c r="AD27" s="184">
        <v>27639.13</v>
      </c>
      <c r="AE27" s="180" t="str">
        <f t="shared" si="10"/>
        <v>M1.2</v>
      </c>
      <c r="AF27" s="288">
        <v>23</v>
      </c>
      <c r="AG27" s="184">
        <v>30086.13</v>
      </c>
      <c r="AH27" s="180" t="str">
        <f t="shared" si="11"/>
        <v>M2.1</v>
      </c>
      <c r="AI27" s="181">
        <v>23</v>
      </c>
      <c r="AJ27" s="184">
        <v>29934.51</v>
      </c>
      <c r="AK27" s="180" t="str">
        <f t="shared" si="12"/>
        <v>M2.2</v>
      </c>
      <c r="AL27" s="288">
        <v>23</v>
      </c>
      <c r="AM27" s="184">
        <v>32588.22</v>
      </c>
      <c r="AN27" s="180" t="str">
        <f t="shared" si="13"/>
        <v>M3.1</v>
      </c>
      <c r="AO27" s="181">
        <v>23</v>
      </c>
      <c r="AP27" s="184">
        <v>30710.51</v>
      </c>
      <c r="AQ27" s="180" t="str">
        <f t="shared" si="14"/>
        <v>M3.2</v>
      </c>
      <c r="AR27" s="288">
        <v>23</v>
      </c>
      <c r="AS27" s="184">
        <v>33433.879999999997</v>
      </c>
      <c r="AT27" s="180" t="str">
        <f t="shared" si="15"/>
        <v>M4.1</v>
      </c>
      <c r="AU27" s="181">
        <v>23</v>
      </c>
      <c r="AV27" s="184">
        <v>31883.08</v>
      </c>
      <c r="AW27" s="180" t="str">
        <f t="shared" si="16"/>
        <v>M4.2</v>
      </c>
      <c r="AX27" s="288">
        <v>23</v>
      </c>
      <c r="AY27" s="184">
        <v>34712.04</v>
      </c>
      <c r="AZ27" s="180" t="str">
        <f t="shared" si="17"/>
        <v>M5.1</v>
      </c>
      <c r="BA27" s="181">
        <v>23</v>
      </c>
      <c r="BB27" s="184">
        <v>32948</v>
      </c>
      <c r="BC27" s="180" t="str">
        <f t="shared" si="18"/>
        <v>M5.2</v>
      </c>
      <c r="BD27" s="288">
        <v>23</v>
      </c>
      <c r="BE27" s="183">
        <v>35162.04</v>
      </c>
      <c r="BF27" s="180" t="str">
        <f t="shared" si="19"/>
        <v>M6</v>
      </c>
      <c r="BG27" s="181">
        <v>23</v>
      </c>
      <c r="BH27" s="184">
        <v>31879.27</v>
      </c>
      <c r="BI27" s="180" t="str">
        <f t="shared" si="20"/>
        <v>M7</v>
      </c>
      <c r="BJ27" s="181">
        <v>23</v>
      </c>
      <c r="BK27" s="184">
        <v>33849.949999999997</v>
      </c>
      <c r="BL27" s="180" t="str">
        <f t="shared" si="21"/>
        <v>M7bis</v>
      </c>
      <c r="BM27" s="181">
        <v>23</v>
      </c>
      <c r="BN27" s="184">
        <v>34804.410000000003</v>
      </c>
      <c r="BO27" s="180" t="s">
        <v>15</v>
      </c>
      <c r="BP27" s="181">
        <v>23</v>
      </c>
      <c r="BQ27" s="182">
        <v>2060000</v>
      </c>
    </row>
    <row r="28" spans="1:69" x14ac:dyDescent="0.2">
      <c r="A28" s="180" t="str">
        <f t="shared" si="0"/>
        <v>HAU1</v>
      </c>
      <c r="B28" s="181">
        <v>24</v>
      </c>
      <c r="C28" s="183">
        <v>19414.03</v>
      </c>
      <c r="D28" s="180" t="str">
        <f t="shared" si="1"/>
        <v>HAU2</v>
      </c>
      <c r="E28" s="181">
        <v>24</v>
      </c>
      <c r="F28" s="184">
        <v>20504.73</v>
      </c>
      <c r="G28" s="180" t="str">
        <f t="shared" si="2"/>
        <v>HAU3</v>
      </c>
      <c r="H28" s="181">
        <v>24</v>
      </c>
      <c r="I28" s="184">
        <v>22547.37</v>
      </c>
      <c r="J28" s="180" t="str">
        <f t="shared" si="3"/>
        <v>HAU4</v>
      </c>
      <c r="K28" s="181">
        <v>24</v>
      </c>
      <c r="L28" s="184">
        <v>22997.37</v>
      </c>
      <c r="M28" s="180" t="str">
        <f t="shared" si="4"/>
        <v>B1</v>
      </c>
      <c r="N28" s="181">
        <v>24</v>
      </c>
      <c r="O28" s="184">
        <v>22599.47</v>
      </c>
      <c r="P28" s="180" t="str">
        <f t="shared" si="5"/>
        <v>B2</v>
      </c>
      <c r="Q28" s="181">
        <v>24</v>
      </c>
      <c r="R28" s="184">
        <v>24086.799999999999</v>
      </c>
      <c r="S28" s="180" t="str">
        <f t="shared" si="6"/>
        <v>B3</v>
      </c>
      <c r="T28" s="181">
        <v>24</v>
      </c>
      <c r="U28" s="184">
        <v>24775.91</v>
      </c>
      <c r="V28" s="180" t="str">
        <f t="shared" si="7"/>
        <v>B4</v>
      </c>
      <c r="W28" s="181">
        <v>24</v>
      </c>
      <c r="X28" s="184">
        <v>26008</v>
      </c>
      <c r="Y28" s="180" t="str">
        <f t="shared" si="8"/>
        <v>B5</v>
      </c>
      <c r="Z28" s="181">
        <v>24</v>
      </c>
      <c r="AA28" s="184">
        <v>27610</v>
      </c>
      <c r="AB28" s="180" t="str">
        <f t="shared" si="9"/>
        <v>M1.1</v>
      </c>
      <c r="AC28" s="181">
        <v>24</v>
      </c>
      <c r="AD28" s="184">
        <v>27926.69</v>
      </c>
      <c r="AE28" s="180" t="str">
        <f t="shared" si="10"/>
        <v>M1.2</v>
      </c>
      <c r="AF28" s="288">
        <v>24</v>
      </c>
      <c r="AG28" s="184">
        <v>30399.57</v>
      </c>
      <c r="AH28" s="180" t="str">
        <f t="shared" si="11"/>
        <v>M2.1</v>
      </c>
      <c r="AI28" s="181">
        <v>24</v>
      </c>
      <c r="AJ28" s="184">
        <v>30239.42</v>
      </c>
      <c r="AK28" s="180" t="str">
        <f t="shared" si="12"/>
        <v>M2.2</v>
      </c>
      <c r="AL28" s="288">
        <v>24</v>
      </c>
      <c r="AM28" s="184">
        <v>32920.58</v>
      </c>
      <c r="AN28" s="180" t="str">
        <f t="shared" si="13"/>
        <v>M3.1</v>
      </c>
      <c r="AO28" s="181">
        <v>24</v>
      </c>
      <c r="AP28" s="184">
        <v>31032.78</v>
      </c>
      <c r="AQ28" s="180" t="str">
        <f t="shared" si="14"/>
        <v>M3.2</v>
      </c>
      <c r="AR28" s="288">
        <v>24</v>
      </c>
      <c r="AS28" s="184">
        <v>33785.15</v>
      </c>
      <c r="AT28" s="180" t="str">
        <f t="shared" si="15"/>
        <v>M4.1</v>
      </c>
      <c r="AU28" s="181">
        <v>24</v>
      </c>
      <c r="AV28" s="184">
        <v>32230.14</v>
      </c>
      <c r="AW28" s="180" t="str">
        <f t="shared" si="16"/>
        <v>M4.2</v>
      </c>
      <c r="AX28" s="288">
        <v>24</v>
      </c>
      <c r="AY28" s="184">
        <v>35090.33</v>
      </c>
      <c r="AZ28" s="180" t="str">
        <f t="shared" si="17"/>
        <v>M5.1</v>
      </c>
      <c r="BA28" s="181">
        <v>24</v>
      </c>
      <c r="BB28" s="184">
        <v>33218</v>
      </c>
      <c r="BC28" s="180" t="str">
        <f t="shared" si="18"/>
        <v>M5.2</v>
      </c>
      <c r="BD28" s="288">
        <v>24</v>
      </c>
      <c r="BE28" s="183">
        <v>35540.33</v>
      </c>
      <c r="BF28" s="180" t="str">
        <f t="shared" si="19"/>
        <v>M6</v>
      </c>
      <c r="BG28" s="181">
        <v>24</v>
      </c>
      <c r="BH28" s="184">
        <v>32176.75</v>
      </c>
      <c r="BI28" s="180" t="str">
        <f t="shared" si="20"/>
        <v>M7</v>
      </c>
      <c r="BJ28" s="181">
        <v>24</v>
      </c>
      <c r="BK28" s="184">
        <v>34172.22</v>
      </c>
      <c r="BL28" s="180" t="str">
        <f t="shared" si="21"/>
        <v>M7bis</v>
      </c>
      <c r="BM28" s="181">
        <v>24</v>
      </c>
      <c r="BN28" s="184">
        <v>35126.68</v>
      </c>
      <c r="BO28" s="180" t="s">
        <v>15</v>
      </c>
      <c r="BP28" s="181">
        <v>24</v>
      </c>
      <c r="BQ28" s="182">
        <v>2075000</v>
      </c>
    </row>
    <row r="29" spans="1:69" x14ac:dyDescent="0.2">
      <c r="A29" s="180" t="str">
        <f t="shared" si="0"/>
        <v>HAU1</v>
      </c>
      <c r="B29" s="181">
        <v>25</v>
      </c>
      <c r="C29" s="183">
        <v>19537.98</v>
      </c>
      <c r="D29" s="180" t="str">
        <f t="shared" si="1"/>
        <v>HAU2</v>
      </c>
      <c r="E29" s="181">
        <v>25</v>
      </c>
      <c r="F29" s="184">
        <v>20653.47</v>
      </c>
      <c r="G29" s="180" t="str">
        <f t="shared" si="2"/>
        <v>HAU3</v>
      </c>
      <c r="H29" s="181">
        <v>25</v>
      </c>
      <c r="I29" s="184">
        <v>22735.77</v>
      </c>
      <c r="J29" s="180" t="str">
        <f t="shared" si="3"/>
        <v>HAU4</v>
      </c>
      <c r="K29" s="181">
        <v>25</v>
      </c>
      <c r="L29" s="184">
        <v>23185.77</v>
      </c>
      <c r="M29" s="180" t="str">
        <f t="shared" si="4"/>
        <v>B1</v>
      </c>
      <c r="N29" s="181">
        <v>25</v>
      </c>
      <c r="O29" s="184">
        <v>22735.82</v>
      </c>
      <c r="P29" s="180" t="str">
        <f t="shared" si="5"/>
        <v>B2</v>
      </c>
      <c r="Q29" s="181">
        <v>25</v>
      </c>
      <c r="R29" s="184">
        <v>24247.94</v>
      </c>
      <c r="S29" s="180" t="str">
        <f t="shared" si="6"/>
        <v>B3</v>
      </c>
      <c r="T29" s="181">
        <v>25</v>
      </c>
      <c r="U29" s="184">
        <v>24991.58</v>
      </c>
      <c r="V29" s="180" t="str">
        <f t="shared" si="7"/>
        <v>B4</v>
      </c>
      <c r="W29" s="181">
        <v>25</v>
      </c>
      <c r="X29" s="184">
        <v>26231</v>
      </c>
      <c r="Y29" s="180" t="str">
        <f t="shared" si="8"/>
        <v>B5</v>
      </c>
      <c r="Z29" s="181">
        <v>25</v>
      </c>
      <c r="AA29" s="184">
        <v>27867</v>
      </c>
      <c r="AB29" s="180" t="str">
        <f t="shared" si="9"/>
        <v>M1.1</v>
      </c>
      <c r="AC29" s="181">
        <v>25</v>
      </c>
      <c r="AD29" s="184">
        <v>28214.25</v>
      </c>
      <c r="AE29" s="180" t="str">
        <f t="shared" si="10"/>
        <v>M1.2</v>
      </c>
      <c r="AF29" s="288">
        <v>25</v>
      </c>
      <c r="AG29" s="184">
        <v>30713.01</v>
      </c>
      <c r="AH29" s="180" t="str">
        <f t="shared" si="11"/>
        <v>M2.1</v>
      </c>
      <c r="AI29" s="181">
        <v>25</v>
      </c>
      <c r="AJ29" s="184">
        <v>30519.54</v>
      </c>
      <c r="AK29" s="180" t="str">
        <f t="shared" si="12"/>
        <v>M2.2</v>
      </c>
      <c r="AL29" s="288">
        <v>25</v>
      </c>
      <c r="AM29" s="184">
        <v>33225.919999999998</v>
      </c>
      <c r="AN29" s="180" t="str">
        <f t="shared" si="13"/>
        <v>M3.1</v>
      </c>
      <c r="AO29" s="181">
        <v>25</v>
      </c>
      <c r="AP29" s="184">
        <v>31337.69</v>
      </c>
      <c r="AQ29" s="180" t="str">
        <f t="shared" si="14"/>
        <v>M3.2</v>
      </c>
      <c r="AR29" s="288">
        <v>25</v>
      </c>
      <c r="AS29" s="184">
        <v>34117.51</v>
      </c>
      <c r="AT29" s="180" t="str">
        <f t="shared" si="15"/>
        <v>M4.1</v>
      </c>
      <c r="AU29" s="181">
        <v>25</v>
      </c>
      <c r="AV29" s="184">
        <v>32577.200000000001</v>
      </c>
      <c r="AW29" s="180" t="str">
        <f t="shared" si="16"/>
        <v>M4.2</v>
      </c>
      <c r="AX29" s="288">
        <v>25</v>
      </c>
      <c r="AY29" s="184">
        <v>35468.620000000003</v>
      </c>
      <c r="AZ29" s="180" t="str">
        <f t="shared" si="17"/>
        <v>M5.1</v>
      </c>
      <c r="BA29" s="181">
        <v>25</v>
      </c>
      <c r="BB29" s="184">
        <v>33487</v>
      </c>
      <c r="BC29" s="180" t="str">
        <f t="shared" si="18"/>
        <v>M5.2</v>
      </c>
      <c r="BD29" s="288">
        <v>25</v>
      </c>
      <c r="BE29" s="183">
        <v>35918.620000000003</v>
      </c>
      <c r="BF29" s="180" t="str">
        <f t="shared" si="19"/>
        <v>M6</v>
      </c>
      <c r="BG29" s="181">
        <v>25</v>
      </c>
      <c r="BH29" s="184">
        <v>32474.23</v>
      </c>
      <c r="BI29" s="180" t="str">
        <f t="shared" si="20"/>
        <v>M7</v>
      </c>
      <c r="BJ29" s="181">
        <v>25</v>
      </c>
      <c r="BK29" s="184">
        <v>34457.300000000003</v>
      </c>
      <c r="BL29" s="180" t="str">
        <f t="shared" si="21"/>
        <v>M7bis</v>
      </c>
      <c r="BM29" s="181">
        <v>25</v>
      </c>
      <c r="BN29" s="184">
        <v>35448.949999999997</v>
      </c>
      <c r="BO29" s="180" t="s">
        <v>15</v>
      </c>
      <c r="BP29" s="181">
        <v>25</v>
      </c>
      <c r="BQ29" s="182">
        <v>2075000</v>
      </c>
    </row>
    <row r="30" spans="1:69" x14ac:dyDescent="0.2">
      <c r="A30" s="180" t="str">
        <f t="shared" si="0"/>
        <v>HAU1</v>
      </c>
      <c r="B30" s="181"/>
      <c r="C30" s="183">
        <f>C29</f>
        <v>19537.98</v>
      </c>
      <c r="D30" s="180" t="str">
        <f t="shared" si="1"/>
        <v>HAU2</v>
      </c>
      <c r="E30" s="181"/>
      <c r="F30" s="184">
        <f>F29</f>
        <v>20653.47</v>
      </c>
      <c r="G30" s="180" t="str">
        <f t="shared" si="2"/>
        <v>HAU3</v>
      </c>
      <c r="H30" s="181"/>
      <c r="I30" s="184">
        <f>I29</f>
        <v>22735.77</v>
      </c>
      <c r="J30" s="180" t="str">
        <f t="shared" si="3"/>
        <v>HAU4</v>
      </c>
      <c r="K30" s="181"/>
      <c r="L30" s="184">
        <f>L29</f>
        <v>23185.77</v>
      </c>
      <c r="M30" s="180" t="str">
        <f t="shared" si="4"/>
        <v>B1</v>
      </c>
      <c r="N30" s="181"/>
      <c r="O30" s="184">
        <f>O29</f>
        <v>22735.82</v>
      </c>
      <c r="P30" s="180" t="str">
        <f t="shared" si="5"/>
        <v>B2</v>
      </c>
      <c r="Q30" s="181"/>
      <c r="R30" s="184">
        <f>R29</f>
        <v>24247.94</v>
      </c>
      <c r="S30" s="180" t="str">
        <f t="shared" si="6"/>
        <v>B3</v>
      </c>
      <c r="T30" s="181"/>
      <c r="U30" s="184">
        <f>U29</f>
        <v>24991.58</v>
      </c>
      <c r="V30" s="180" t="str">
        <f t="shared" si="7"/>
        <v>B4</v>
      </c>
      <c r="W30" s="181">
        <v>26</v>
      </c>
      <c r="X30" s="184">
        <v>26310</v>
      </c>
      <c r="Y30" s="180" t="str">
        <f t="shared" si="8"/>
        <v>B5</v>
      </c>
      <c r="Z30" s="181">
        <v>26</v>
      </c>
      <c r="AA30" s="184">
        <v>28010</v>
      </c>
      <c r="AB30" s="180" t="str">
        <f t="shared" si="9"/>
        <v>M1.1</v>
      </c>
      <c r="AC30" s="181"/>
      <c r="AD30" s="184">
        <f>AD29</f>
        <v>28214.25</v>
      </c>
      <c r="AE30" s="180" t="str">
        <f t="shared" si="10"/>
        <v>M1.2</v>
      </c>
      <c r="AF30" s="181"/>
      <c r="AG30" s="184">
        <f>AG29</f>
        <v>30713.01</v>
      </c>
      <c r="AH30" s="180" t="str">
        <f t="shared" si="11"/>
        <v>M2.1</v>
      </c>
      <c r="AI30" s="181"/>
      <c r="AJ30" s="184">
        <f>AJ29</f>
        <v>30519.54</v>
      </c>
      <c r="AK30" s="180" t="str">
        <f t="shared" si="12"/>
        <v>M2.2</v>
      </c>
      <c r="AL30" s="181"/>
      <c r="AM30" s="184">
        <f>AM29</f>
        <v>33225.919999999998</v>
      </c>
      <c r="AN30" s="180" t="str">
        <f t="shared" si="13"/>
        <v>M3.1</v>
      </c>
      <c r="AO30" s="181"/>
      <c r="AP30" s="184">
        <f>AP29</f>
        <v>31337.69</v>
      </c>
      <c r="AQ30" s="180" t="str">
        <f t="shared" si="14"/>
        <v>M3.2</v>
      </c>
      <c r="AR30" s="181"/>
      <c r="AS30" s="184">
        <f>AS29</f>
        <v>34117.51</v>
      </c>
      <c r="AT30" s="180" t="str">
        <f t="shared" si="15"/>
        <v>M4.1</v>
      </c>
      <c r="AU30" s="181">
        <v>26</v>
      </c>
      <c r="AV30" s="184">
        <v>32577.200000000001</v>
      </c>
      <c r="AW30" s="180" t="str">
        <f t="shared" si="16"/>
        <v>M4.2</v>
      </c>
      <c r="AX30" s="181"/>
      <c r="AY30" s="184">
        <f>AY29</f>
        <v>35468.620000000003</v>
      </c>
      <c r="AZ30" s="180" t="str">
        <f t="shared" si="17"/>
        <v>M5.1</v>
      </c>
      <c r="BA30" s="181">
        <v>26</v>
      </c>
      <c r="BB30" s="184">
        <v>33757</v>
      </c>
      <c r="BC30" s="180" t="str">
        <f t="shared" si="18"/>
        <v>M5.2</v>
      </c>
      <c r="BD30" s="288"/>
      <c r="BE30" s="183">
        <f>BE29</f>
        <v>35918.620000000003</v>
      </c>
      <c r="BF30" s="180" t="str">
        <f t="shared" si="19"/>
        <v>M6</v>
      </c>
      <c r="BG30" s="178"/>
      <c r="BH30" s="184">
        <f>BH29</f>
        <v>32474.23</v>
      </c>
      <c r="BI30" s="180" t="str">
        <f t="shared" si="20"/>
        <v>M7</v>
      </c>
      <c r="BJ30" s="178"/>
      <c r="BK30" s="184">
        <f>BK29</f>
        <v>34457.300000000003</v>
      </c>
      <c r="BL30" s="180" t="str">
        <f t="shared" si="21"/>
        <v>M7bis</v>
      </c>
      <c r="BM30" s="178"/>
      <c r="BN30" s="184">
        <f>BN29</f>
        <v>35448.949999999997</v>
      </c>
      <c r="BO30" s="180" t="s">
        <v>15</v>
      </c>
      <c r="BP30" s="181">
        <v>26</v>
      </c>
      <c r="BQ30" s="182">
        <v>2075000</v>
      </c>
    </row>
    <row r="31" spans="1:69" x14ac:dyDescent="0.2">
      <c r="A31" s="180"/>
      <c r="B31" s="181"/>
      <c r="C31" s="183"/>
      <c r="D31" s="180"/>
      <c r="E31" s="181"/>
      <c r="F31" s="184"/>
      <c r="G31" s="181"/>
      <c r="H31" s="181"/>
      <c r="I31" s="184"/>
      <c r="J31" s="181"/>
      <c r="K31" s="181"/>
      <c r="L31" s="184"/>
      <c r="M31" s="181"/>
      <c r="N31" s="181"/>
      <c r="O31" s="184"/>
      <c r="P31" s="180"/>
      <c r="Q31" s="181"/>
      <c r="R31" s="184"/>
      <c r="S31" s="180"/>
      <c r="T31" s="181"/>
      <c r="U31" s="184"/>
      <c r="V31" s="180" t="str">
        <f t="shared" si="7"/>
        <v>B4</v>
      </c>
      <c r="W31" s="181">
        <v>27</v>
      </c>
      <c r="X31" s="184">
        <v>26509</v>
      </c>
      <c r="Y31" s="180" t="str">
        <f t="shared" si="8"/>
        <v>B5</v>
      </c>
      <c r="Z31" s="181">
        <v>27</v>
      </c>
      <c r="AA31" s="184">
        <v>28209</v>
      </c>
      <c r="AB31" s="180"/>
      <c r="AC31" s="181"/>
      <c r="AD31" s="184"/>
      <c r="AE31" s="181"/>
      <c r="AF31" s="181"/>
      <c r="AG31" s="183"/>
      <c r="AH31" s="180"/>
      <c r="AI31" s="181"/>
      <c r="AJ31" s="184"/>
      <c r="AK31" s="181"/>
      <c r="AL31" s="181"/>
      <c r="AM31" s="183"/>
      <c r="AN31" s="180"/>
      <c r="AO31" s="181"/>
      <c r="AP31" s="184"/>
      <c r="AQ31" s="181"/>
      <c r="AR31" s="181"/>
      <c r="AS31" s="183"/>
      <c r="AT31" s="180" t="str">
        <f t="shared" si="15"/>
        <v>M4.1</v>
      </c>
      <c r="AU31" s="181">
        <v>27</v>
      </c>
      <c r="AV31" s="184">
        <v>33075.599999999999</v>
      </c>
      <c r="AW31" s="181"/>
      <c r="AX31" s="181"/>
      <c r="AY31" s="183"/>
      <c r="AZ31" s="180" t="str">
        <f t="shared" si="17"/>
        <v>M5.1</v>
      </c>
      <c r="BA31" s="181">
        <v>27</v>
      </c>
      <c r="BB31" s="184">
        <v>34027</v>
      </c>
      <c r="BC31" s="181"/>
      <c r="BD31" s="288"/>
      <c r="BE31" s="183"/>
      <c r="BF31" s="180"/>
      <c r="BG31" s="178"/>
      <c r="BH31" s="184"/>
      <c r="BI31" s="180"/>
      <c r="BJ31" s="178"/>
      <c r="BK31" s="184"/>
      <c r="BL31" s="180"/>
      <c r="BM31" s="178"/>
      <c r="BN31" s="184"/>
      <c r="BO31" s="180"/>
      <c r="BP31" s="181"/>
      <c r="BQ31" s="182"/>
    </row>
    <row r="32" spans="1:69" x14ac:dyDescent="0.2">
      <c r="A32" s="180"/>
      <c r="B32" s="181"/>
      <c r="C32" s="183"/>
      <c r="D32" s="180"/>
      <c r="E32" s="181"/>
      <c r="F32" s="184"/>
      <c r="G32" s="181"/>
      <c r="H32" s="181"/>
      <c r="I32" s="184"/>
      <c r="J32" s="181"/>
      <c r="K32" s="181"/>
      <c r="L32" s="184"/>
      <c r="M32" s="181"/>
      <c r="N32" s="181"/>
      <c r="O32" s="184"/>
      <c r="P32" s="180"/>
      <c r="Q32" s="181"/>
      <c r="R32" s="184"/>
      <c r="S32" s="180"/>
      <c r="T32" s="181"/>
      <c r="U32" s="184"/>
      <c r="V32" s="180" t="str">
        <f t="shared" si="7"/>
        <v>B4</v>
      </c>
      <c r="W32" s="181">
        <v>28</v>
      </c>
      <c r="X32" s="184">
        <v>26709</v>
      </c>
      <c r="Y32" s="180" t="str">
        <f t="shared" si="8"/>
        <v>B5</v>
      </c>
      <c r="Z32" s="181">
        <v>28</v>
      </c>
      <c r="AA32" s="184">
        <v>28409</v>
      </c>
      <c r="AB32" s="180"/>
      <c r="AC32" s="181"/>
      <c r="AD32" s="184"/>
      <c r="AE32" s="181"/>
      <c r="AF32" s="181"/>
      <c r="AG32" s="183"/>
      <c r="AH32" s="180"/>
      <c r="AI32" s="181"/>
      <c r="AJ32" s="184"/>
      <c r="AK32" s="181"/>
      <c r="AL32" s="181"/>
      <c r="AM32" s="183"/>
      <c r="AN32" s="180"/>
      <c r="AO32" s="181"/>
      <c r="AP32" s="184"/>
      <c r="AQ32" s="181"/>
      <c r="AR32" s="181"/>
      <c r="AS32" s="183"/>
      <c r="AT32" s="180" t="str">
        <f t="shared" si="15"/>
        <v>M4.1</v>
      </c>
      <c r="AU32" s="181">
        <v>28</v>
      </c>
      <c r="AV32" s="184">
        <v>33075.599999999999</v>
      </c>
      <c r="AW32" s="181"/>
      <c r="AX32" s="181"/>
      <c r="AY32" s="183"/>
      <c r="AZ32" s="180" t="str">
        <f t="shared" si="17"/>
        <v>M5.1</v>
      </c>
      <c r="BA32" s="181">
        <v>28</v>
      </c>
      <c r="BB32" s="184">
        <v>34296</v>
      </c>
      <c r="BC32" s="181"/>
      <c r="BD32" s="288"/>
      <c r="BE32" s="183"/>
      <c r="BF32" s="180"/>
      <c r="BG32" s="178"/>
      <c r="BH32" s="184"/>
      <c r="BI32" s="180"/>
      <c r="BJ32" s="178"/>
      <c r="BK32" s="184"/>
      <c r="BL32" s="180"/>
      <c r="BM32" s="178"/>
      <c r="BN32" s="184"/>
      <c r="BO32" s="180"/>
      <c r="BP32" s="181"/>
      <c r="BQ32" s="182"/>
    </row>
    <row r="33" spans="1:69" x14ac:dyDescent="0.2">
      <c r="A33" s="180"/>
      <c r="B33" s="181"/>
      <c r="C33" s="183"/>
      <c r="D33" s="180"/>
      <c r="E33" s="181"/>
      <c r="F33" s="184"/>
      <c r="G33" s="181"/>
      <c r="H33" s="181"/>
      <c r="I33" s="184"/>
      <c r="J33" s="181"/>
      <c r="K33" s="181"/>
      <c r="L33" s="184"/>
      <c r="M33" s="181"/>
      <c r="N33" s="181"/>
      <c r="O33" s="184"/>
      <c r="P33" s="180"/>
      <c r="Q33" s="181"/>
      <c r="R33" s="184"/>
      <c r="S33" s="180"/>
      <c r="T33" s="181"/>
      <c r="U33" s="184"/>
      <c r="V33" s="180" t="str">
        <f t="shared" si="7"/>
        <v>B4</v>
      </c>
      <c r="W33" s="181">
        <v>29</v>
      </c>
      <c r="X33" s="184">
        <v>26909</v>
      </c>
      <c r="Y33" s="180" t="str">
        <f t="shared" si="8"/>
        <v>B5</v>
      </c>
      <c r="Z33" s="181">
        <v>29</v>
      </c>
      <c r="AA33" s="184">
        <v>28609</v>
      </c>
      <c r="AB33" s="180"/>
      <c r="AC33" s="181"/>
      <c r="AD33" s="184"/>
      <c r="AE33" s="181"/>
      <c r="AF33" s="181"/>
      <c r="AG33" s="183"/>
      <c r="AH33" s="180"/>
      <c r="AI33" s="181"/>
      <c r="AJ33" s="184"/>
      <c r="AK33" s="181"/>
      <c r="AL33" s="181"/>
      <c r="AM33" s="183"/>
      <c r="AN33" s="180"/>
      <c r="AO33" s="181"/>
      <c r="AP33" s="184"/>
      <c r="AQ33" s="181"/>
      <c r="AR33" s="181"/>
      <c r="AS33" s="183"/>
      <c r="AT33" s="180" t="str">
        <f t="shared" si="15"/>
        <v>M4.1</v>
      </c>
      <c r="AU33" s="181">
        <v>29</v>
      </c>
      <c r="AV33" s="184">
        <v>33574</v>
      </c>
      <c r="AW33" s="181"/>
      <c r="AX33" s="181"/>
      <c r="AY33" s="183"/>
      <c r="AZ33" s="180" t="str">
        <f t="shared" si="17"/>
        <v>M5.1</v>
      </c>
      <c r="BA33" s="181">
        <v>29</v>
      </c>
      <c r="BB33" s="184">
        <v>34566</v>
      </c>
      <c r="BC33" s="181"/>
      <c r="BD33" s="288"/>
      <c r="BE33" s="183"/>
      <c r="BF33" s="180"/>
      <c r="BG33" s="178"/>
      <c r="BH33" s="184"/>
      <c r="BI33" s="180"/>
      <c r="BJ33" s="178"/>
      <c r="BK33" s="184"/>
      <c r="BL33" s="180"/>
      <c r="BM33" s="178"/>
      <c r="BN33" s="184"/>
      <c r="BO33" s="180"/>
      <c r="BP33" s="181"/>
      <c r="BQ33" s="182"/>
    </row>
    <row r="34" spans="1:69" x14ac:dyDescent="0.2">
      <c r="A34" s="180"/>
      <c r="B34" s="181"/>
      <c r="C34" s="183"/>
      <c r="D34" s="180"/>
      <c r="E34" s="181"/>
      <c r="F34" s="184"/>
      <c r="G34" s="181"/>
      <c r="H34" s="181"/>
      <c r="I34" s="184"/>
      <c r="J34" s="181"/>
      <c r="K34" s="181"/>
      <c r="L34" s="184"/>
      <c r="M34" s="181"/>
      <c r="N34" s="181"/>
      <c r="O34" s="184"/>
      <c r="P34" s="180"/>
      <c r="Q34" s="181"/>
      <c r="R34" s="184"/>
      <c r="S34" s="180"/>
      <c r="T34" s="181"/>
      <c r="U34" s="184"/>
      <c r="V34" s="180" t="str">
        <f t="shared" si="7"/>
        <v>B4</v>
      </c>
      <c r="W34" s="181"/>
      <c r="X34" s="184">
        <f>X33</f>
        <v>26909</v>
      </c>
      <c r="Y34" s="180" t="str">
        <f t="shared" si="8"/>
        <v>B5</v>
      </c>
      <c r="Z34" s="181"/>
      <c r="AA34" s="184">
        <f>AA33</f>
        <v>28609</v>
      </c>
      <c r="AB34" s="180"/>
      <c r="AC34" s="181"/>
      <c r="AD34" s="184"/>
      <c r="AE34" s="181"/>
      <c r="AF34" s="181"/>
      <c r="AG34" s="183"/>
      <c r="AH34" s="180"/>
      <c r="AI34" s="181"/>
      <c r="AJ34" s="184"/>
      <c r="AK34" s="181"/>
      <c r="AL34" s="181"/>
      <c r="AM34" s="183"/>
      <c r="AN34" s="180"/>
      <c r="AO34" s="181"/>
      <c r="AP34" s="184"/>
      <c r="AQ34" s="181"/>
      <c r="AR34" s="181"/>
      <c r="AS34" s="183"/>
      <c r="AT34" s="180" t="str">
        <f t="shared" si="15"/>
        <v>M4.1</v>
      </c>
      <c r="AU34" s="181"/>
      <c r="AV34" s="184">
        <f>AV33</f>
        <v>33574</v>
      </c>
      <c r="AW34" s="181"/>
      <c r="AX34" s="181"/>
      <c r="AY34" s="183"/>
      <c r="AZ34" s="180" t="str">
        <f t="shared" si="17"/>
        <v>M5.1</v>
      </c>
      <c r="BA34" s="181"/>
      <c r="BB34" s="184">
        <f>BB33</f>
        <v>34566</v>
      </c>
      <c r="BC34" s="181"/>
      <c r="BD34" s="288"/>
      <c r="BE34" s="183"/>
      <c r="BF34" s="180"/>
      <c r="BG34" s="178"/>
      <c r="BH34" s="184"/>
      <c r="BI34" s="180"/>
      <c r="BJ34" s="178"/>
      <c r="BK34" s="184"/>
      <c r="BL34" s="180"/>
      <c r="BM34" s="178"/>
      <c r="BN34" s="184"/>
      <c r="BO34" s="180"/>
      <c r="BP34" s="181"/>
      <c r="BQ34" s="182"/>
    </row>
    <row r="35" spans="1:69" x14ac:dyDescent="0.2">
      <c r="A35" s="180"/>
      <c r="B35" s="181"/>
      <c r="C35" s="181"/>
      <c r="D35" s="180"/>
      <c r="E35" s="181"/>
      <c r="F35" s="182"/>
      <c r="G35" s="181"/>
      <c r="H35" s="181"/>
      <c r="I35" s="182"/>
      <c r="J35" s="181"/>
      <c r="K35" s="181"/>
      <c r="L35" s="182"/>
      <c r="M35" s="181"/>
      <c r="N35" s="181"/>
      <c r="O35" s="182"/>
      <c r="P35" s="180"/>
      <c r="Q35" s="181"/>
      <c r="R35" s="182"/>
      <c r="S35" s="180"/>
      <c r="T35" s="181"/>
      <c r="U35" s="182"/>
      <c r="V35" s="180"/>
      <c r="W35" s="181"/>
      <c r="X35" s="182"/>
      <c r="Y35" s="180"/>
      <c r="Z35" s="181"/>
      <c r="AA35" s="182"/>
      <c r="AB35" s="180"/>
      <c r="AC35" s="181"/>
      <c r="AD35" s="182"/>
      <c r="AE35" s="181"/>
      <c r="AF35" s="181"/>
      <c r="AG35" s="181"/>
      <c r="AH35" s="180"/>
      <c r="AI35" s="181"/>
      <c r="AJ35" s="182"/>
      <c r="AK35" s="181"/>
      <c r="AL35" s="181"/>
      <c r="AM35" s="181"/>
      <c r="AN35" s="180"/>
      <c r="AO35" s="181"/>
      <c r="AP35" s="182"/>
      <c r="AQ35" s="181"/>
      <c r="AR35" s="181"/>
      <c r="AS35" s="181"/>
      <c r="AT35" s="180"/>
      <c r="AU35" s="181"/>
      <c r="AV35" s="182"/>
      <c r="AW35" s="181"/>
      <c r="AX35" s="181"/>
      <c r="AY35" s="181"/>
      <c r="AZ35" s="180"/>
      <c r="BA35" s="181"/>
      <c r="BB35" s="182"/>
      <c r="BC35" s="181"/>
      <c r="BD35" s="288"/>
      <c r="BE35" s="181"/>
      <c r="BF35" s="177"/>
      <c r="BG35" s="178"/>
      <c r="BH35" s="179"/>
      <c r="BI35" s="177"/>
      <c r="BJ35" s="178"/>
      <c r="BK35" s="179"/>
      <c r="BL35" s="177"/>
      <c r="BM35" s="178"/>
      <c r="BN35" s="179"/>
      <c r="BO35" s="180" t="s">
        <v>15</v>
      </c>
      <c r="BP35" s="181">
        <v>27</v>
      </c>
      <c r="BQ35" s="182">
        <v>2075000</v>
      </c>
    </row>
    <row r="36" spans="1:69" x14ac:dyDescent="0.2">
      <c r="A36" s="185"/>
      <c r="B36" s="186"/>
      <c r="C36" s="186"/>
      <c r="D36" s="185"/>
      <c r="E36" s="186"/>
      <c r="F36" s="187"/>
      <c r="G36" s="185"/>
      <c r="H36" s="186"/>
      <c r="I36" s="187"/>
      <c r="J36" s="185"/>
      <c r="K36" s="186"/>
      <c r="L36" s="187"/>
      <c r="M36" s="186"/>
      <c r="N36" s="186"/>
      <c r="O36" s="187"/>
      <c r="P36" s="185"/>
      <c r="Q36" s="186"/>
      <c r="R36" s="187"/>
      <c r="S36" s="185"/>
      <c r="T36" s="186"/>
      <c r="U36" s="187"/>
      <c r="V36" s="185"/>
      <c r="W36" s="186"/>
      <c r="X36" s="187"/>
      <c r="Y36" s="185"/>
      <c r="Z36" s="186"/>
      <c r="AA36" s="187"/>
      <c r="AB36" s="185"/>
      <c r="AC36" s="186"/>
      <c r="AD36" s="187"/>
      <c r="AE36" s="186"/>
      <c r="AF36" s="186"/>
      <c r="AG36" s="186"/>
      <c r="AH36" s="185"/>
      <c r="AI36" s="186"/>
      <c r="AJ36" s="187"/>
      <c r="AK36" s="186"/>
      <c r="AL36" s="186"/>
      <c r="AM36" s="186"/>
      <c r="AN36" s="185"/>
      <c r="AO36" s="186"/>
      <c r="AP36" s="187"/>
      <c r="AQ36" s="186"/>
      <c r="AR36" s="186"/>
      <c r="AS36" s="186"/>
      <c r="AT36" s="185"/>
      <c r="AU36" s="186"/>
      <c r="AV36" s="187"/>
      <c r="AW36" s="186"/>
      <c r="AX36" s="186"/>
      <c r="AY36" s="186"/>
      <c r="AZ36" s="185"/>
      <c r="BA36" s="186"/>
      <c r="BB36" s="187"/>
      <c r="BC36" s="186"/>
      <c r="BD36" s="188"/>
      <c r="BE36" s="186"/>
      <c r="BF36" s="189"/>
      <c r="BG36" s="190"/>
      <c r="BH36" s="191"/>
      <c r="BI36" s="189"/>
      <c r="BJ36" s="190"/>
      <c r="BK36" s="191"/>
      <c r="BL36" s="189"/>
      <c r="BM36" s="190"/>
      <c r="BN36" s="190"/>
      <c r="BO36" s="180" t="s">
        <v>15</v>
      </c>
      <c r="BP36" s="181">
        <v>28</v>
      </c>
      <c r="BQ36" s="182">
        <v>2075000</v>
      </c>
    </row>
    <row r="37" spans="1:69" ht="15" customHeight="1" x14ac:dyDescent="0.2">
      <c r="A37" s="480" t="s">
        <v>14</v>
      </c>
      <c r="B37" s="480"/>
      <c r="C37" s="481"/>
      <c r="D37" s="479" t="s">
        <v>13</v>
      </c>
      <c r="E37" s="480"/>
      <c r="F37" s="481"/>
      <c r="G37" s="479" t="s">
        <v>12</v>
      </c>
      <c r="H37" s="480"/>
      <c r="I37" s="481"/>
      <c r="J37" s="479" t="s">
        <v>11</v>
      </c>
      <c r="K37" s="480"/>
      <c r="L37" s="481"/>
      <c r="M37" s="479" t="s">
        <v>10</v>
      </c>
      <c r="N37" s="480"/>
      <c r="O37" s="481"/>
      <c r="P37" s="479" t="s">
        <v>9</v>
      </c>
      <c r="Q37" s="480"/>
      <c r="R37" s="481"/>
      <c r="S37" s="479" t="s">
        <v>1</v>
      </c>
      <c r="T37" s="480"/>
      <c r="U37" s="481"/>
      <c r="V37" s="479" t="s">
        <v>0</v>
      </c>
      <c r="W37" s="480"/>
      <c r="X37" s="481"/>
      <c r="Y37" s="479" t="s">
        <v>8</v>
      </c>
      <c r="Z37" s="480"/>
      <c r="AA37" s="481"/>
      <c r="AB37" s="479" t="s">
        <v>7</v>
      </c>
      <c r="AC37" s="480"/>
      <c r="AD37" s="481"/>
      <c r="AE37" s="479" t="s">
        <v>6</v>
      </c>
      <c r="AF37" s="480"/>
      <c r="AG37" s="481"/>
      <c r="AH37" s="479" t="s">
        <v>5</v>
      </c>
      <c r="AI37" s="480"/>
      <c r="AJ37" s="481"/>
      <c r="AK37" s="479" t="s">
        <v>4</v>
      </c>
      <c r="AL37" s="480"/>
      <c r="AM37" s="481"/>
      <c r="AN37" s="479" t="s">
        <v>3</v>
      </c>
      <c r="AO37" s="480"/>
      <c r="AP37" s="481"/>
      <c r="AQ37" s="479" t="s">
        <v>2</v>
      </c>
      <c r="AR37" s="480"/>
      <c r="AS37" s="481"/>
      <c r="AT37" s="479" t="s">
        <v>269</v>
      </c>
      <c r="AU37" s="480"/>
      <c r="AV37" s="481"/>
      <c r="AW37" s="479" t="s">
        <v>263</v>
      </c>
      <c r="AX37" s="480"/>
      <c r="AY37" s="481"/>
      <c r="AZ37" s="479" t="s">
        <v>264</v>
      </c>
      <c r="BA37" s="480"/>
      <c r="BB37" s="481"/>
      <c r="BC37" s="479" t="s">
        <v>265</v>
      </c>
      <c r="BD37" s="480"/>
      <c r="BE37" s="481"/>
      <c r="BF37" s="479" t="s">
        <v>266</v>
      </c>
      <c r="BG37" s="480"/>
      <c r="BH37" s="481"/>
      <c r="BO37" s="180" t="s">
        <v>15</v>
      </c>
      <c r="BP37" s="181">
        <v>29</v>
      </c>
      <c r="BQ37" s="182">
        <v>2075000</v>
      </c>
    </row>
    <row r="38" spans="1:69" x14ac:dyDescent="0.2">
      <c r="A38" s="483"/>
      <c r="B38" s="483"/>
      <c r="C38" s="484"/>
      <c r="D38" s="482"/>
      <c r="E38" s="483"/>
      <c r="F38" s="484"/>
      <c r="G38" s="482"/>
      <c r="H38" s="483"/>
      <c r="I38" s="484"/>
      <c r="J38" s="482"/>
      <c r="K38" s="483"/>
      <c r="L38" s="484"/>
      <c r="M38" s="482"/>
      <c r="N38" s="483"/>
      <c r="O38" s="484"/>
      <c r="P38" s="482"/>
      <c r="Q38" s="483"/>
      <c r="R38" s="484"/>
      <c r="S38" s="482"/>
      <c r="T38" s="483"/>
      <c r="U38" s="484"/>
      <c r="V38" s="482"/>
      <c r="W38" s="483"/>
      <c r="X38" s="484"/>
      <c r="Y38" s="482"/>
      <c r="Z38" s="483"/>
      <c r="AA38" s="484"/>
      <c r="AB38" s="482"/>
      <c r="AC38" s="483"/>
      <c r="AD38" s="484"/>
      <c r="AE38" s="482"/>
      <c r="AF38" s="483"/>
      <c r="AG38" s="484"/>
      <c r="AH38" s="482"/>
      <c r="AI38" s="483"/>
      <c r="AJ38" s="484"/>
      <c r="AK38" s="482"/>
      <c r="AL38" s="483"/>
      <c r="AM38" s="484"/>
      <c r="AN38" s="482"/>
      <c r="AO38" s="483"/>
      <c r="AP38" s="484"/>
      <c r="AQ38" s="482"/>
      <c r="AR38" s="483"/>
      <c r="AS38" s="484"/>
      <c r="AT38" s="482"/>
      <c r="AU38" s="483"/>
      <c r="AV38" s="484"/>
      <c r="AW38" s="482"/>
      <c r="AX38" s="483"/>
      <c r="AY38" s="484"/>
      <c r="AZ38" s="482"/>
      <c r="BA38" s="483"/>
      <c r="BB38" s="484"/>
      <c r="BC38" s="482"/>
      <c r="BD38" s="483"/>
      <c r="BE38" s="484"/>
      <c r="BF38" s="482"/>
      <c r="BG38" s="483"/>
      <c r="BH38" s="484"/>
      <c r="BO38" s="180" t="s">
        <v>15</v>
      </c>
      <c r="BP38" s="181">
        <v>30</v>
      </c>
      <c r="BQ38" s="182">
        <v>2075000</v>
      </c>
    </row>
    <row r="39" spans="1:69" x14ac:dyDescent="0.2">
      <c r="A39" s="177"/>
      <c r="B39" s="178"/>
      <c r="C39" s="179"/>
      <c r="D39" s="178"/>
      <c r="E39" s="178"/>
      <c r="F39" s="178"/>
      <c r="G39" s="177"/>
      <c r="H39" s="178"/>
      <c r="I39" s="179"/>
      <c r="J39" s="177"/>
      <c r="K39" s="178"/>
      <c r="L39" s="179"/>
      <c r="M39" s="177"/>
      <c r="N39" s="178"/>
      <c r="O39" s="179"/>
      <c r="P39" s="177"/>
      <c r="Q39" s="178"/>
      <c r="R39" s="179"/>
      <c r="S39" s="181"/>
      <c r="T39" s="181"/>
      <c r="U39" s="181"/>
      <c r="V39" s="180"/>
      <c r="W39" s="181"/>
      <c r="X39" s="181"/>
      <c r="Y39" s="180"/>
      <c r="Z39" s="181"/>
      <c r="AA39" s="182"/>
      <c r="AB39" s="177"/>
      <c r="AC39" s="178"/>
      <c r="AD39" s="179"/>
      <c r="AE39" s="177"/>
      <c r="AF39" s="178"/>
      <c r="AG39" s="179"/>
      <c r="AH39" s="177"/>
      <c r="AI39" s="178"/>
      <c r="AJ39" s="179"/>
      <c r="AK39" s="177"/>
      <c r="AL39" s="178"/>
      <c r="AM39" s="179"/>
      <c r="AN39" s="177"/>
      <c r="AO39" s="178"/>
      <c r="AP39" s="179"/>
      <c r="AQ39" s="177"/>
      <c r="AR39" s="178"/>
      <c r="AS39" s="179"/>
      <c r="AT39" s="177"/>
      <c r="AU39" s="178"/>
      <c r="AV39" s="179"/>
      <c r="AW39" s="177"/>
      <c r="AX39" s="178"/>
      <c r="AY39" s="179"/>
      <c r="AZ39" s="177"/>
      <c r="BA39" s="178"/>
      <c r="BB39" s="179"/>
      <c r="BC39" s="177"/>
      <c r="BD39" s="178"/>
      <c r="BE39" s="179"/>
      <c r="BF39" s="177"/>
      <c r="BG39" s="178"/>
      <c r="BH39" s="179"/>
      <c r="BO39" s="180" t="s">
        <v>15</v>
      </c>
      <c r="BP39" s="181"/>
      <c r="BQ39" s="182">
        <v>2075000</v>
      </c>
    </row>
    <row r="40" spans="1:69" x14ac:dyDescent="0.2">
      <c r="A40" s="180" t="str">
        <f>A$37</f>
        <v>O1</v>
      </c>
      <c r="B40" s="181">
        <v>0</v>
      </c>
      <c r="C40" s="184">
        <v>21520.95</v>
      </c>
      <c r="D40" s="180" t="str">
        <f>D$37</f>
        <v>O2</v>
      </c>
      <c r="E40" s="181">
        <v>0</v>
      </c>
      <c r="F40" s="183">
        <v>24247.78</v>
      </c>
      <c r="G40" s="180" t="str">
        <f>G$37</f>
        <v>O3</v>
      </c>
      <c r="H40" s="181">
        <v>0</v>
      </c>
      <c r="I40" s="184">
        <v>25239.360000000001</v>
      </c>
      <c r="J40" s="180" t="str">
        <f>J$37</f>
        <v>O4</v>
      </c>
      <c r="K40" s="181">
        <v>0</v>
      </c>
      <c r="L40" s="184">
        <v>27966.19</v>
      </c>
      <c r="M40" s="180" t="str">
        <f>M$37</f>
        <v>O5</v>
      </c>
      <c r="N40" s="181">
        <v>0</v>
      </c>
      <c r="O40" s="184">
        <v>34411.42</v>
      </c>
      <c r="P40" s="180" t="str">
        <f>P$37</f>
        <v>O6</v>
      </c>
      <c r="Q40" s="181">
        <v>0</v>
      </c>
      <c r="R40" s="184">
        <v>35774.83</v>
      </c>
      <c r="S40" s="180" t="str">
        <f>S$37</f>
        <v>O7</v>
      </c>
      <c r="T40" s="181">
        <v>0</v>
      </c>
      <c r="U40" s="183">
        <v>37881.93</v>
      </c>
      <c r="V40" s="180" t="str">
        <f>V$37</f>
        <v>O8</v>
      </c>
      <c r="W40" s="181">
        <v>0</v>
      </c>
      <c r="X40" s="183">
        <v>41848.22</v>
      </c>
      <c r="Y40" s="180" t="str">
        <f>Y$37</f>
        <v>O4bis-ir</v>
      </c>
      <c r="Z40" s="181">
        <v>0</v>
      </c>
      <c r="AA40" s="184">
        <v>32583.13</v>
      </c>
      <c r="AB40" s="180" t="str">
        <f>AB$37</f>
        <v>O2ir</v>
      </c>
      <c r="AC40" s="181">
        <v>0</v>
      </c>
      <c r="AD40" s="184">
        <v>26653.52</v>
      </c>
      <c r="AE40" s="180" t="str">
        <f>AE$37</f>
        <v>O3ir</v>
      </c>
      <c r="AF40" s="181">
        <v>0</v>
      </c>
      <c r="AG40" s="184">
        <v>27764.080000000002</v>
      </c>
      <c r="AH40" s="180" t="str">
        <f>AH$37</f>
        <v>O4ir</v>
      </c>
      <c r="AI40" s="181">
        <v>0</v>
      </c>
      <c r="AJ40" s="184">
        <v>29167.16</v>
      </c>
      <c r="AK40" s="180" t="str">
        <f>AK$37</f>
        <v>O5ir</v>
      </c>
      <c r="AL40" s="181">
        <v>0</v>
      </c>
      <c r="AM40" s="184">
        <v>35999.1</v>
      </c>
      <c r="AN40" s="180" t="str">
        <f>AN$37</f>
        <v>O6ir</v>
      </c>
      <c r="AO40" s="181">
        <v>0</v>
      </c>
      <c r="AP40" s="184">
        <v>36031.33</v>
      </c>
      <c r="AQ40" s="180" t="str">
        <f>AQ$37</f>
        <v>O4bis</v>
      </c>
      <c r="AR40" s="181">
        <v>0</v>
      </c>
      <c r="AS40" s="184">
        <v>30738.799999999999</v>
      </c>
      <c r="AT40" s="180" t="str">
        <f>AT$37</f>
        <v>O8bis</v>
      </c>
      <c r="AU40" s="181">
        <v>0</v>
      </c>
      <c r="AV40" s="184">
        <v>50322.39</v>
      </c>
      <c r="AW40" s="180" t="str">
        <f>AW$37</f>
        <v>BASP1</v>
      </c>
      <c r="AX40" s="181">
        <v>0</v>
      </c>
      <c r="AY40" s="184">
        <v>15008.01</v>
      </c>
      <c r="AZ40" s="180" t="str">
        <f>AZ$37</f>
        <v>BASP2</v>
      </c>
      <c r="BA40" s="181">
        <v>0</v>
      </c>
      <c r="BB40" s="184">
        <v>16322.86</v>
      </c>
      <c r="BC40" s="180" t="str">
        <f>BC$37</f>
        <v>BASP3</v>
      </c>
      <c r="BD40" s="181">
        <v>0</v>
      </c>
      <c r="BE40" s="184">
        <v>17723.7</v>
      </c>
      <c r="BF40" s="180" t="str">
        <f>BF$37</f>
        <v>BASP4</v>
      </c>
      <c r="BG40" s="181">
        <v>0</v>
      </c>
      <c r="BH40" s="184">
        <v>19223.7</v>
      </c>
      <c r="BO40" s="189"/>
      <c r="BP40" s="190"/>
      <c r="BQ40" s="191"/>
    </row>
    <row r="41" spans="1:69" x14ac:dyDescent="0.2">
      <c r="A41" s="180" t="str">
        <f t="shared" ref="A41:A66" si="22">A$37</f>
        <v>O1</v>
      </c>
      <c r="B41" s="181">
        <v>1</v>
      </c>
      <c r="C41" s="184">
        <v>21957.25</v>
      </c>
      <c r="D41" s="180" t="str">
        <f t="shared" ref="D41:D66" si="23">D$37</f>
        <v>O2</v>
      </c>
      <c r="E41" s="181">
        <v>1</v>
      </c>
      <c r="F41" s="183">
        <v>24842.73</v>
      </c>
      <c r="G41" s="180" t="str">
        <f t="shared" ref="G41:G66" si="24">G$37</f>
        <v>O3</v>
      </c>
      <c r="H41" s="181">
        <v>1</v>
      </c>
      <c r="I41" s="184">
        <v>26082.2</v>
      </c>
      <c r="J41" s="180" t="str">
        <f t="shared" ref="J41:J66" si="25">J$37</f>
        <v>O4</v>
      </c>
      <c r="K41" s="181">
        <v>1</v>
      </c>
      <c r="L41" s="184">
        <v>28883.4</v>
      </c>
      <c r="M41" s="180" t="str">
        <f t="shared" ref="M41:M66" si="26">M$37</f>
        <v>O5</v>
      </c>
      <c r="N41" s="181">
        <v>1</v>
      </c>
      <c r="O41" s="184">
        <v>35403</v>
      </c>
      <c r="P41" s="180" t="str">
        <f t="shared" ref="P41:P66" si="27">P$37</f>
        <v>O6</v>
      </c>
      <c r="Q41" s="181">
        <v>1</v>
      </c>
      <c r="R41" s="184">
        <v>36791.199999999997</v>
      </c>
      <c r="S41" s="180" t="str">
        <f t="shared" ref="S41:S69" si="28">S$37</f>
        <v>O7</v>
      </c>
      <c r="T41" s="181">
        <v>1</v>
      </c>
      <c r="U41" s="183">
        <v>37881.93</v>
      </c>
      <c r="V41" s="180" t="str">
        <f t="shared" ref="V41:V69" si="29">V$37</f>
        <v>O8</v>
      </c>
      <c r="W41" s="181">
        <v>1</v>
      </c>
      <c r="X41" s="183">
        <v>41848.22</v>
      </c>
      <c r="Y41" s="180" t="str">
        <f t="shared" ref="Y41:Y66" si="30">Y$37</f>
        <v>O4bis-ir</v>
      </c>
      <c r="Z41" s="181">
        <v>1</v>
      </c>
      <c r="AA41" s="184">
        <v>33607.93</v>
      </c>
      <c r="AB41" s="180" t="str">
        <f t="shared" ref="AB41:AB66" si="31">AB$37</f>
        <v>O2ir</v>
      </c>
      <c r="AC41" s="181">
        <v>1</v>
      </c>
      <c r="AD41" s="184">
        <v>27319.86</v>
      </c>
      <c r="AE41" s="180" t="str">
        <f t="shared" ref="AE41:AE66" si="32">AE$37</f>
        <v>O3ir</v>
      </c>
      <c r="AF41" s="181">
        <v>1</v>
      </c>
      <c r="AG41" s="184">
        <v>28708.06</v>
      </c>
      <c r="AH41" s="180" t="str">
        <f t="shared" ref="AH41:AH66" si="33">AH$37</f>
        <v>O4ir</v>
      </c>
      <c r="AI41" s="181">
        <v>1</v>
      </c>
      <c r="AJ41" s="184">
        <v>30139.4</v>
      </c>
      <c r="AK41" s="180" t="str">
        <f t="shared" ref="AK41:AK66" si="34">AK$37</f>
        <v>O5ir</v>
      </c>
      <c r="AL41" s="181">
        <v>1</v>
      </c>
      <c r="AM41" s="184">
        <v>37050.17</v>
      </c>
      <c r="AN41" s="180" t="str">
        <f t="shared" ref="AN41:AN66" si="35">AN$37</f>
        <v>O6ir</v>
      </c>
      <c r="AO41" s="181">
        <v>1</v>
      </c>
      <c r="AP41" s="184">
        <v>37068.03</v>
      </c>
      <c r="AQ41" s="180" t="str">
        <f t="shared" ref="AQ41:AQ66" si="36">AQ$37</f>
        <v>O4bis</v>
      </c>
      <c r="AR41" s="181">
        <v>1</v>
      </c>
      <c r="AS41" s="184">
        <v>31705.59</v>
      </c>
      <c r="AT41" s="180" t="str">
        <f t="shared" ref="AT41:AT66" si="37">AT$37</f>
        <v>O8bis</v>
      </c>
      <c r="AU41" s="181">
        <v>1</v>
      </c>
      <c r="AV41" s="184">
        <v>50322.39</v>
      </c>
      <c r="AW41" s="180" t="str">
        <f t="shared" ref="AW41:AW70" si="38">AW$37</f>
        <v>BASP1</v>
      </c>
      <c r="AX41" s="181">
        <v>1</v>
      </c>
      <c r="AY41" s="184">
        <v>15275.32</v>
      </c>
      <c r="AZ41" s="180" t="str">
        <f t="shared" ref="AZ41:AZ70" si="39">AZ$37</f>
        <v>BASP2</v>
      </c>
      <c r="BA41" s="181">
        <v>1</v>
      </c>
      <c r="BB41" s="184">
        <v>16634.95</v>
      </c>
      <c r="BC41" s="180" t="str">
        <f t="shared" ref="BC41:BC70" si="40">BC$37</f>
        <v>BASP3</v>
      </c>
      <c r="BD41" s="181">
        <v>1</v>
      </c>
      <c r="BE41" s="184">
        <v>17991.009999999998</v>
      </c>
      <c r="BF41" s="180" t="str">
        <f t="shared" ref="BF41:BF70" si="41">BF$37</f>
        <v>BASP4</v>
      </c>
      <c r="BG41" s="181">
        <v>1</v>
      </c>
      <c r="BH41" s="184">
        <v>19491.009999999998</v>
      </c>
    </row>
    <row r="42" spans="1:69" x14ac:dyDescent="0.2">
      <c r="A42" s="180" t="str">
        <f t="shared" si="22"/>
        <v>O1</v>
      </c>
      <c r="B42" s="181">
        <v>2</v>
      </c>
      <c r="C42" s="184">
        <v>22393.55</v>
      </c>
      <c r="D42" s="180" t="str">
        <f t="shared" si="23"/>
        <v>O2</v>
      </c>
      <c r="E42" s="181">
        <v>2</v>
      </c>
      <c r="F42" s="183">
        <v>25437.68</v>
      </c>
      <c r="G42" s="180" t="str">
        <f t="shared" si="24"/>
        <v>O3</v>
      </c>
      <c r="H42" s="181">
        <v>2</v>
      </c>
      <c r="I42" s="184">
        <v>26925.040000000001</v>
      </c>
      <c r="J42" s="180" t="str">
        <f t="shared" si="25"/>
        <v>O4</v>
      </c>
      <c r="K42" s="181">
        <v>2</v>
      </c>
      <c r="L42" s="184">
        <v>29800.61</v>
      </c>
      <c r="M42" s="180" t="str">
        <f t="shared" si="26"/>
        <v>O5</v>
      </c>
      <c r="N42" s="181">
        <v>2</v>
      </c>
      <c r="O42" s="184">
        <v>36345</v>
      </c>
      <c r="P42" s="180" t="str">
        <f t="shared" si="27"/>
        <v>O6</v>
      </c>
      <c r="Q42" s="181">
        <v>2</v>
      </c>
      <c r="R42" s="184">
        <v>37757.99</v>
      </c>
      <c r="S42" s="180" t="str">
        <f t="shared" si="28"/>
        <v>O7</v>
      </c>
      <c r="T42" s="181">
        <v>2</v>
      </c>
      <c r="U42" s="183">
        <v>39369.300000000003</v>
      </c>
      <c r="V42" s="180" t="str">
        <f t="shared" si="29"/>
        <v>O8</v>
      </c>
      <c r="W42" s="181">
        <v>2</v>
      </c>
      <c r="X42" s="183">
        <v>43459.53</v>
      </c>
      <c r="Y42" s="180" t="str">
        <f t="shared" si="30"/>
        <v>O4bis-ir</v>
      </c>
      <c r="Z42" s="181">
        <v>2</v>
      </c>
      <c r="AA42" s="184">
        <v>34632.730000000003</v>
      </c>
      <c r="AB42" s="180" t="str">
        <f t="shared" si="31"/>
        <v>O2ir</v>
      </c>
      <c r="AC42" s="181">
        <v>2</v>
      </c>
      <c r="AD42" s="184">
        <v>27986.2</v>
      </c>
      <c r="AE42" s="180" t="str">
        <f t="shared" si="32"/>
        <v>O3ir</v>
      </c>
      <c r="AF42" s="181">
        <v>2</v>
      </c>
      <c r="AG42" s="184">
        <v>29652.04</v>
      </c>
      <c r="AH42" s="180" t="str">
        <f t="shared" si="33"/>
        <v>O4ir</v>
      </c>
      <c r="AI42" s="181">
        <v>2</v>
      </c>
      <c r="AJ42" s="184">
        <v>31111.64</v>
      </c>
      <c r="AK42" s="180" t="str">
        <f t="shared" si="34"/>
        <v>O5ir</v>
      </c>
      <c r="AL42" s="181">
        <v>2</v>
      </c>
      <c r="AM42" s="184">
        <v>38048.69</v>
      </c>
      <c r="AN42" s="180" t="str">
        <f t="shared" si="35"/>
        <v>O6ir</v>
      </c>
      <c r="AO42" s="181">
        <v>2</v>
      </c>
      <c r="AP42" s="184">
        <v>38054.160000000003</v>
      </c>
      <c r="AQ42" s="180" t="str">
        <f t="shared" si="36"/>
        <v>O4bis</v>
      </c>
      <c r="AR42" s="181">
        <v>2</v>
      </c>
      <c r="AS42" s="184">
        <v>32672.38</v>
      </c>
      <c r="AT42" s="180" t="str">
        <f t="shared" si="37"/>
        <v>O8bis</v>
      </c>
      <c r="AU42" s="181">
        <v>2</v>
      </c>
      <c r="AV42" s="184">
        <v>51760.18</v>
      </c>
      <c r="AW42" s="180" t="str">
        <f t="shared" si="38"/>
        <v>BASP1</v>
      </c>
      <c r="AX42" s="181">
        <v>2</v>
      </c>
      <c r="AY42" s="184">
        <v>15542.63</v>
      </c>
      <c r="AZ42" s="180" t="str">
        <f t="shared" si="39"/>
        <v>BASP2</v>
      </c>
      <c r="BA42" s="181">
        <v>2</v>
      </c>
      <c r="BB42" s="184">
        <v>16767.04</v>
      </c>
      <c r="BC42" s="180" t="str">
        <f t="shared" si="40"/>
        <v>BASP3</v>
      </c>
      <c r="BD42" s="181">
        <v>2</v>
      </c>
      <c r="BE42" s="184">
        <v>18258.32</v>
      </c>
      <c r="BF42" s="180" t="str">
        <f t="shared" si="41"/>
        <v>BASP4</v>
      </c>
      <c r="BG42" s="181">
        <v>2</v>
      </c>
      <c r="BH42" s="184">
        <v>19758.32</v>
      </c>
    </row>
    <row r="43" spans="1:69" x14ac:dyDescent="0.2">
      <c r="A43" s="180" t="str">
        <f t="shared" si="22"/>
        <v>O1</v>
      </c>
      <c r="B43" s="181">
        <v>3</v>
      </c>
      <c r="C43" s="184">
        <v>22829.85</v>
      </c>
      <c r="D43" s="180" t="str">
        <f t="shared" si="23"/>
        <v>O2</v>
      </c>
      <c r="E43" s="181">
        <v>3</v>
      </c>
      <c r="F43" s="183">
        <v>26032.63</v>
      </c>
      <c r="G43" s="180" t="str">
        <f t="shared" si="24"/>
        <v>O3</v>
      </c>
      <c r="H43" s="181">
        <v>3</v>
      </c>
      <c r="I43" s="184">
        <v>27767.88</v>
      </c>
      <c r="J43" s="180" t="str">
        <f t="shared" si="25"/>
        <v>O4</v>
      </c>
      <c r="K43" s="181">
        <v>3</v>
      </c>
      <c r="L43" s="184">
        <v>30717.82</v>
      </c>
      <c r="M43" s="180" t="str">
        <f t="shared" si="26"/>
        <v>O5</v>
      </c>
      <c r="N43" s="181">
        <v>3</v>
      </c>
      <c r="O43" s="184">
        <v>37287</v>
      </c>
      <c r="P43" s="180" t="str">
        <f t="shared" si="27"/>
        <v>O6</v>
      </c>
      <c r="Q43" s="181">
        <v>3</v>
      </c>
      <c r="R43" s="184">
        <v>38724.78</v>
      </c>
      <c r="S43" s="180" t="str">
        <f t="shared" si="28"/>
        <v>O7</v>
      </c>
      <c r="T43" s="181">
        <v>3</v>
      </c>
      <c r="U43" s="183">
        <v>39369.300000000003</v>
      </c>
      <c r="V43" s="180" t="str">
        <f t="shared" si="29"/>
        <v>O8</v>
      </c>
      <c r="W43" s="181">
        <v>3</v>
      </c>
      <c r="X43" s="183">
        <v>43459.53</v>
      </c>
      <c r="Y43" s="180" t="str">
        <f t="shared" si="30"/>
        <v>O4bis-ir</v>
      </c>
      <c r="Z43" s="181">
        <v>3</v>
      </c>
      <c r="AA43" s="184">
        <v>35657.53</v>
      </c>
      <c r="AB43" s="180" t="str">
        <f t="shared" si="31"/>
        <v>O2ir</v>
      </c>
      <c r="AC43" s="181">
        <v>3</v>
      </c>
      <c r="AD43" s="184">
        <v>28652.54</v>
      </c>
      <c r="AE43" s="180" t="str">
        <f t="shared" si="32"/>
        <v>O3ir</v>
      </c>
      <c r="AF43" s="181">
        <v>3</v>
      </c>
      <c r="AG43" s="184">
        <v>30596.02</v>
      </c>
      <c r="AH43" s="180" t="str">
        <f t="shared" si="33"/>
        <v>O4ir</v>
      </c>
      <c r="AI43" s="181">
        <v>3</v>
      </c>
      <c r="AJ43" s="184">
        <v>32083.88</v>
      </c>
      <c r="AK43" s="180" t="str">
        <f t="shared" si="34"/>
        <v>O5ir</v>
      </c>
      <c r="AL43" s="181">
        <v>3</v>
      </c>
      <c r="AM43" s="184">
        <v>39047.21</v>
      </c>
      <c r="AN43" s="180" t="str">
        <f t="shared" si="35"/>
        <v>O6ir</v>
      </c>
      <c r="AO43" s="181">
        <v>3</v>
      </c>
      <c r="AP43" s="184">
        <v>39040.29</v>
      </c>
      <c r="AQ43" s="180" t="str">
        <f t="shared" si="36"/>
        <v>O4bis</v>
      </c>
      <c r="AR43" s="181">
        <v>3</v>
      </c>
      <c r="AS43" s="184">
        <v>33639.17</v>
      </c>
      <c r="AT43" s="180" t="str">
        <f t="shared" si="37"/>
        <v>O8bis</v>
      </c>
      <c r="AU43" s="181">
        <v>3</v>
      </c>
      <c r="AV43" s="184">
        <v>51760.18</v>
      </c>
      <c r="AW43" s="180" t="str">
        <f t="shared" si="38"/>
        <v>BASP1</v>
      </c>
      <c r="AX43" s="181">
        <v>3</v>
      </c>
      <c r="AY43" s="184">
        <v>15809.94</v>
      </c>
      <c r="AZ43" s="180" t="str">
        <f t="shared" si="39"/>
        <v>BASP2</v>
      </c>
      <c r="BA43" s="181">
        <v>3</v>
      </c>
      <c r="BB43" s="184">
        <v>17079.13</v>
      </c>
      <c r="BC43" s="180" t="str">
        <f t="shared" si="40"/>
        <v>BASP3</v>
      </c>
      <c r="BD43" s="181">
        <v>3</v>
      </c>
      <c r="BE43" s="184">
        <v>18705.63</v>
      </c>
      <c r="BF43" s="180" t="str">
        <f t="shared" si="41"/>
        <v>BASP4</v>
      </c>
      <c r="BG43" s="181">
        <v>3</v>
      </c>
      <c r="BH43" s="184">
        <v>20025.63</v>
      </c>
    </row>
    <row r="44" spans="1:69" x14ac:dyDescent="0.2">
      <c r="A44" s="180" t="str">
        <f t="shared" si="22"/>
        <v>O1</v>
      </c>
      <c r="B44" s="181">
        <v>4</v>
      </c>
      <c r="C44" s="184">
        <v>23266.15</v>
      </c>
      <c r="D44" s="180" t="str">
        <f t="shared" si="23"/>
        <v>O2</v>
      </c>
      <c r="E44" s="181">
        <v>4</v>
      </c>
      <c r="F44" s="183">
        <v>26627.58</v>
      </c>
      <c r="G44" s="180" t="str">
        <f t="shared" si="24"/>
        <v>O3</v>
      </c>
      <c r="H44" s="181">
        <v>4</v>
      </c>
      <c r="I44" s="184">
        <v>28610.720000000001</v>
      </c>
      <c r="J44" s="180" t="str">
        <f t="shared" si="25"/>
        <v>O4</v>
      </c>
      <c r="K44" s="181">
        <v>4</v>
      </c>
      <c r="L44" s="184">
        <v>31635.03</v>
      </c>
      <c r="M44" s="180" t="str">
        <f t="shared" si="26"/>
        <v>O5</v>
      </c>
      <c r="N44" s="181">
        <v>4</v>
      </c>
      <c r="O44" s="184">
        <v>38229</v>
      </c>
      <c r="P44" s="180" t="str">
        <f t="shared" si="27"/>
        <v>O6</v>
      </c>
      <c r="Q44" s="181">
        <v>4</v>
      </c>
      <c r="R44" s="184">
        <v>39691.57</v>
      </c>
      <c r="S44" s="180" t="str">
        <f t="shared" si="28"/>
        <v>O7</v>
      </c>
      <c r="T44" s="181">
        <v>4</v>
      </c>
      <c r="U44" s="183">
        <v>40856.67</v>
      </c>
      <c r="V44" s="180" t="str">
        <f t="shared" si="29"/>
        <v>O8</v>
      </c>
      <c r="W44" s="181">
        <v>4</v>
      </c>
      <c r="X44" s="183">
        <v>45070.84</v>
      </c>
      <c r="Y44" s="180" t="str">
        <f t="shared" si="30"/>
        <v>O4bis-ir</v>
      </c>
      <c r="Z44" s="181">
        <v>4</v>
      </c>
      <c r="AA44" s="184">
        <v>36682.33</v>
      </c>
      <c r="AB44" s="180" t="str">
        <f t="shared" si="31"/>
        <v>O2ir</v>
      </c>
      <c r="AC44" s="181">
        <v>4</v>
      </c>
      <c r="AD44" s="184">
        <v>29318.880000000001</v>
      </c>
      <c r="AE44" s="180" t="str">
        <f t="shared" si="32"/>
        <v>O3ir</v>
      </c>
      <c r="AF44" s="181">
        <v>4</v>
      </c>
      <c r="AG44" s="184">
        <v>31540</v>
      </c>
      <c r="AH44" s="180" t="str">
        <f t="shared" si="33"/>
        <v>O4ir</v>
      </c>
      <c r="AI44" s="181">
        <v>4</v>
      </c>
      <c r="AJ44" s="184">
        <v>33056.120000000003</v>
      </c>
      <c r="AK44" s="180" t="str">
        <f t="shared" si="34"/>
        <v>O5ir</v>
      </c>
      <c r="AL44" s="181">
        <v>4</v>
      </c>
      <c r="AM44" s="184">
        <v>40045.730000000003</v>
      </c>
      <c r="AN44" s="180" t="str">
        <f t="shared" si="35"/>
        <v>O6ir</v>
      </c>
      <c r="AO44" s="181">
        <v>4</v>
      </c>
      <c r="AP44" s="184">
        <v>40026.42</v>
      </c>
      <c r="AQ44" s="180" t="str">
        <f t="shared" si="36"/>
        <v>O4bis</v>
      </c>
      <c r="AR44" s="181">
        <v>4</v>
      </c>
      <c r="AS44" s="184">
        <v>34605.96</v>
      </c>
      <c r="AT44" s="180" t="str">
        <f t="shared" si="37"/>
        <v>O8bis</v>
      </c>
      <c r="AU44" s="181">
        <v>4</v>
      </c>
      <c r="AV44" s="184">
        <v>53197.97</v>
      </c>
      <c r="AW44" s="180" t="str">
        <f t="shared" si="38"/>
        <v>BASP1</v>
      </c>
      <c r="AX44" s="181">
        <v>4</v>
      </c>
      <c r="AY44" s="184">
        <v>15809.94</v>
      </c>
      <c r="AZ44" s="180" t="str">
        <f t="shared" si="39"/>
        <v>BASP2</v>
      </c>
      <c r="BA44" s="181">
        <v>4</v>
      </c>
      <c r="BB44" s="184">
        <v>17079.13</v>
      </c>
      <c r="BC44" s="180" t="str">
        <f t="shared" si="40"/>
        <v>BASP3</v>
      </c>
      <c r="BD44" s="181">
        <v>4</v>
      </c>
      <c r="BE44" s="184">
        <v>18705.63</v>
      </c>
      <c r="BF44" s="180" t="str">
        <f t="shared" si="41"/>
        <v>BASP4</v>
      </c>
      <c r="BG44" s="181">
        <v>4</v>
      </c>
      <c r="BH44" s="184">
        <v>20025.63</v>
      </c>
    </row>
    <row r="45" spans="1:69" x14ac:dyDescent="0.2">
      <c r="A45" s="180" t="str">
        <f t="shared" si="22"/>
        <v>O1</v>
      </c>
      <c r="B45" s="181">
        <v>5</v>
      </c>
      <c r="C45" s="184">
        <v>23702.45</v>
      </c>
      <c r="D45" s="180" t="str">
        <f t="shared" si="23"/>
        <v>O2</v>
      </c>
      <c r="E45" s="181">
        <v>5</v>
      </c>
      <c r="F45" s="183">
        <v>27222.53</v>
      </c>
      <c r="G45" s="180" t="str">
        <f t="shared" si="24"/>
        <v>O3</v>
      </c>
      <c r="H45" s="181">
        <v>5</v>
      </c>
      <c r="I45" s="184">
        <v>29453.56</v>
      </c>
      <c r="J45" s="180" t="str">
        <f t="shared" si="25"/>
        <v>O4</v>
      </c>
      <c r="K45" s="181">
        <v>5</v>
      </c>
      <c r="L45" s="184">
        <v>32552.240000000002</v>
      </c>
      <c r="M45" s="180" t="str">
        <f t="shared" si="26"/>
        <v>O5</v>
      </c>
      <c r="N45" s="181">
        <v>5</v>
      </c>
      <c r="O45" s="184">
        <v>39171</v>
      </c>
      <c r="P45" s="180" t="str">
        <f t="shared" si="27"/>
        <v>O6</v>
      </c>
      <c r="Q45" s="181">
        <v>5</v>
      </c>
      <c r="R45" s="184">
        <v>40658.36</v>
      </c>
      <c r="S45" s="180" t="str">
        <f t="shared" si="28"/>
        <v>O7</v>
      </c>
      <c r="T45" s="181">
        <v>5</v>
      </c>
      <c r="U45" s="183">
        <v>40856.67</v>
      </c>
      <c r="V45" s="180" t="str">
        <f t="shared" si="29"/>
        <v>O8</v>
      </c>
      <c r="W45" s="181">
        <v>5</v>
      </c>
      <c r="X45" s="183">
        <v>45070.84</v>
      </c>
      <c r="Y45" s="180" t="str">
        <f t="shared" si="30"/>
        <v>O4bis-ir</v>
      </c>
      <c r="Z45" s="181">
        <v>5</v>
      </c>
      <c r="AA45" s="184">
        <v>37707.129999999997</v>
      </c>
      <c r="AB45" s="180" t="str">
        <f t="shared" si="31"/>
        <v>O2ir</v>
      </c>
      <c r="AC45" s="181">
        <v>5</v>
      </c>
      <c r="AD45" s="184">
        <v>29985.22</v>
      </c>
      <c r="AE45" s="180" t="str">
        <f t="shared" si="32"/>
        <v>O3ir</v>
      </c>
      <c r="AF45" s="181">
        <v>5</v>
      </c>
      <c r="AG45" s="184">
        <v>32483.98</v>
      </c>
      <c r="AH45" s="180" t="str">
        <f t="shared" si="33"/>
        <v>O4ir</v>
      </c>
      <c r="AI45" s="181">
        <v>5</v>
      </c>
      <c r="AJ45" s="184">
        <v>34028.36</v>
      </c>
      <c r="AK45" s="180" t="str">
        <f t="shared" si="34"/>
        <v>O5ir</v>
      </c>
      <c r="AL45" s="181">
        <v>5</v>
      </c>
      <c r="AM45" s="184">
        <v>41044.25</v>
      </c>
      <c r="AN45" s="180" t="str">
        <f t="shared" si="35"/>
        <v>O6ir</v>
      </c>
      <c r="AO45" s="181">
        <v>5</v>
      </c>
      <c r="AP45" s="184">
        <v>41012.550000000003</v>
      </c>
      <c r="AQ45" s="180" t="str">
        <f t="shared" si="36"/>
        <v>O4bis</v>
      </c>
      <c r="AR45" s="181">
        <v>5</v>
      </c>
      <c r="AS45" s="184">
        <v>35572.75</v>
      </c>
      <c r="AT45" s="180" t="str">
        <f t="shared" si="37"/>
        <v>O8bis</v>
      </c>
      <c r="AU45" s="181">
        <v>5</v>
      </c>
      <c r="AV45" s="184">
        <v>53197.97</v>
      </c>
      <c r="AW45" s="180" t="str">
        <f t="shared" si="38"/>
        <v>BASP1</v>
      </c>
      <c r="AX45" s="181">
        <v>5</v>
      </c>
      <c r="AY45" s="184">
        <v>16346.28</v>
      </c>
      <c r="AZ45" s="180" t="str">
        <f t="shared" si="39"/>
        <v>BASP2</v>
      </c>
      <c r="BA45" s="181">
        <v>5</v>
      </c>
      <c r="BB45" s="184">
        <v>17614.259999999998</v>
      </c>
      <c r="BC45" s="180" t="str">
        <f t="shared" si="40"/>
        <v>BASP3</v>
      </c>
      <c r="BD45" s="181">
        <v>5</v>
      </c>
      <c r="BE45" s="184">
        <v>18967.64</v>
      </c>
      <c r="BF45" s="180" t="str">
        <f t="shared" si="41"/>
        <v>BASP4</v>
      </c>
      <c r="BG45" s="181">
        <v>5</v>
      </c>
      <c r="BH45" s="184">
        <v>20381.97</v>
      </c>
    </row>
    <row r="46" spans="1:69" x14ac:dyDescent="0.2">
      <c r="A46" s="180" t="str">
        <f t="shared" si="22"/>
        <v>O1</v>
      </c>
      <c r="B46" s="181">
        <v>6</v>
      </c>
      <c r="C46" s="184">
        <v>24138.75</v>
      </c>
      <c r="D46" s="180" t="str">
        <f t="shared" si="23"/>
        <v>O2</v>
      </c>
      <c r="E46" s="181">
        <v>6</v>
      </c>
      <c r="F46" s="183">
        <v>27817.48</v>
      </c>
      <c r="G46" s="180" t="str">
        <f t="shared" si="24"/>
        <v>O3</v>
      </c>
      <c r="H46" s="181">
        <v>6</v>
      </c>
      <c r="I46" s="184">
        <v>30296.400000000001</v>
      </c>
      <c r="J46" s="180" t="str">
        <f t="shared" si="25"/>
        <v>O4</v>
      </c>
      <c r="K46" s="181">
        <v>6</v>
      </c>
      <c r="L46" s="184">
        <v>33469.449999999997</v>
      </c>
      <c r="M46" s="180" t="str">
        <f t="shared" si="26"/>
        <v>O5</v>
      </c>
      <c r="N46" s="181">
        <v>6</v>
      </c>
      <c r="O46" s="184">
        <v>40113</v>
      </c>
      <c r="P46" s="180" t="str">
        <f t="shared" si="27"/>
        <v>O6</v>
      </c>
      <c r="Q46" s="181">
        <v>6</v>
      </c>
      <c r="R46" s="184">
        <v>41625.15</v>
      </c>
      <c r="S46" s="180" t="str">
        <f t="shared" si="28"/>
        <v>O7</v>
      </c>
      <c r="T46" s="181">
        <v>6</v>
      </c>
      <c r="U46" s="183">
        <v>42344.04</v>
      </c>
      <c r="V46" s="180" t="str">
        <f t="shared" si="29"/>
        <v>O8</v>
      </c>
      <c r="W46" s="181">
        <v>6</v>
      </c>
      <c r="X46" s="183">
        <v>46682.15</v>
      </c>
      <c r="Y46" s="180" t="str">
        <f t="shared" si="30"/>
        <v>O4bis-ir</v>
      </c>
      <c r="Z46" s="181">
        <v>6</v>
      </c>
      <c r="AA46" s="184">
        <v>38731.93</v>
      </c>
      <c r="AB46" s="180" t="str">
        <f t="shared" si="31"/>
        <v>O2ir</v>
      </c>
      <c r="AC46" s="181">
        <v>6</v>
      </c>
      <c r="AD46" s="184">
        <v>30651.56</v>
      </c>
      <c r="AE46" s="180" t="str">
        <f t="shared" si="32"/>
        <v>O3ir</v>
      </c>
      <c r="AF46" s="181">
        <v>6</v>
      </c>
      <c r="AG46" s="184">
        <v>33427.96</v>
      </c>
      <c r="AH46" s="180" t="str">
        <f t="shared" si="33"/>
        <v>O4ir</v>
      </c>
      <c r="AI46" s="181">
        <v>6</v>
      </c>
      <c r="AJ46" s="184">
        <v>35000.6</v>
      </c>
      <c r="AK46" s="180" t="str">
        <f t="shared" si="34"/>
        <v>O5ir</v>
      </c>
      <c r="AL46" s="181">
        <v>6</v>
      </c>
      <c r="AM46" s="184">
        <v>42042.77</v>
      </c>
      <c r="AN46" s="180" t="str">
        <f t="shared" si="35"/>
        <v>O6ir</v>
      </c>
      <c r="AO46" s="181">
        <v>6</v>
      </c>
      <c r="AP46" s="184">
        <v>41998.68</v>
      </c>
      <c r="AQ46" s="180" t="str">
        <f t="shared" si="36"/>
        <v>O4bis</v>
      </c>
      <c r="AR46" s="181">
        <v>6</v>
      </c>
      <c r="AS46" s="184">
        <v>36539.54</v>
      </c>
      <c r="AT46" s="180" t="str">
        <f t="shared" si="37"/>
        <v>O8bis</v>
      </c>
      <c r="AU46" s="181">
        <v>6</v>
      </c>
      <c r="AV46" s="184">
        <v>54635.76</v>
      </c>
      <c r="AW46" s="180" t="str">
        <f t="shared" si="38"/>
        <v>BASP1</v>
      </c>
      <c r="AX46" s="181">
        <v>6</v>
      </c>
      <c r="AY46" s="184">
        <v>16346.28</v>
      </c>
      <c r="AZ46" s="180" t="str">
        <f t="shared" si="39"/>
        <v>BASP2</v>
      </c>
      <c r="BA46" s="181">
        <v>6</v>
      </c>
      <c r="BB46" s="184">
        <v>17614.259999999998</v>
      </c>
      <c r="BC46" s="180" t="str">
        <f t="shared" si="40"/>
        <v>BASP3</v>
      </c>
      <c r="BD46" s="181">
        <v>6</v>
      </c>
      <c r="BE46" s="184">
        <v>18967.64</v>
      </c>
      <c r="BF46" s="180" t="str">
        <f t="shared" si="41"/>
        <v>BASP4</v>
      </c>
      <c r="BG46" s="181">
        <v>6</v>
      </c>
      <c r="BH46" s="184">
        <v>20381.97</v>
      </c>
    </row>
    <row r="47" spans="1:69" x14ac:dyDescent="0.2">
      <c r="A47" s="180" t="str">
        <f t="shared" si="22"/>
        <v>O1</v>
      </c>
      <c r="B47" s="181">
        <v>7</v>
      </c>
      <c r="C47" s="184">
        <v>24575.05</v>
      </c>
      <c r="D47" s="180" t="str">
        <f t="shared" si="23"/>
        <v>O2</v>
      </c>
      <c r="E47" s="181">
        <v>7</v>
      </c>
      <c r="F47" s="183">
        <v>28412.43</v>
      </c>
      <c r="G47" s="180" t="str">
        <f t="shared" si="24"/>
        <v>O3</v>
      </c>
      <c r="H47" s="181">
        <v>7</v>
      </c>
      <c r="I47" s="184">
        <v>31139.24</v>
      </c>
      <c r="J47" s="180" t="str">
        <f t="shared" si="25"/>
        <v>O4</v>
      </c>
      <c r="K47" s="181">
        <v>7</v>
      </c>
      <c r="L47" s="184">
        <v>34386.660000000003</v>
      </c>
      <c r="M47" s="180" t="str">
        <f t="shared" si="26"/>
        <v>O5</v>
      </c>
      <c r="N47" s="181">
        <v>7</v>
      </c>
      <c r="O47" s="184">
        <v>41055</v>
      </c>
      <c r="P47" s="180" t="str">
        <f t="shared" si="27"/>
        <v>O6</v>
      </c>
      <c r="Q47" s="181">
        <v>7</v>
      </c>
      <c r="R47" s="184">
        <v>42591.94</v>
      </c>
      <c r="S47" s="180" t="str">
        <f t="shared" si="28"/>
        <v>O7</v>
      </c>
      <c r="T47" s="181">
        <v>7</v>
      </c>
      <c r="U47" s="183">
        <v>42344.04</v>
      </c>
      <c r="V47" s="180" t="str">
        <f t="shared" si="29"/>
        <v>O8</v>
      </c>
      <c r="W47" s="181">
        <v>7</v>
      </c>
      <c r="X47" s="183">
        <v>46682.15</v>
      </c>
      <c r="Y47" s="180" t="str">
        <f t="shared" si="30"/>
        <v>O4bis-ir</v>
      </c>
      <c r="Z47" s="181">
        <v>7</v>
      </c>
      <c r="AA47" s="184">
        <v>39756.730000000003</v>
      </c>
      <c r="AB47" s="180" t="str">
        <f t="shared" si="31"/>
        <v>O2ir</v>
      </c>
      <c r="AC47" s="181">
        <v>7</v>
      </c>
      <c r="AD47" s="184">
        <v>31317.9</v>
      </c>
      <c r="AE47" s="180" t="str">
        <f t="shared" si="32"/>
        <v>O3ir</v>
      </c>
      <c r="AF47" s="181">
        <v>7</v>
      </c>
      <c r="AG47" s="184">
        <v>34371.94</v>
      </c>
      <c r="AH47" s="180" t="str">
        <f t="shared" si="33"/>
        <v>O4ir</v>
      </c>
      <c r="AI47" s="181">
        <v>7</v>
      </c>
      <c r="AJ47" s="184">
        <v>35972.839999999997</v>
      </c>
      <c r="AK47" s="180" t="str">
        <f t="shared" si="34"/>
        <v>O5ir</v>
      </c>
      <c r="AL47" s="181">
        <v>7</v>
      </c>
      <c r="AM47" s="184">
        <v>43041.29</v>
      </c>
      <c r="AN47" s="180" t="str">
        <f t="shared" si="35"/>
        <v>O6ir</v>
      </c>
      <c r="AO47" s="181">
        <v>7</v>
      </c>
      <c r="AP47" s="184">
        <v>42984.81</v>
      </c>
      <c r="AQ47" s="180" t="str">
        <f t="shared" si="36"/>
        <v>O4bis</v>
      </c>
      <c r="AR47" s="181">
        <v>7</v>
      </c>
      <c r="AS47" s="184">
        <v>37506.33</v>
      </c>
      <c r="AT47" s="180" t="str">
        <f t="shared" si="37"/>
        <v>O8bis</v>
      </c>
      <c r="AU47" s="181">
        <v>7</v>
      </c>
      <c r="AV47" s="184">
        <v>54635.76</v>
      </c>
      <c r="AW47" s="180" t="str">
        <f t="shared" si="38"/>
        <v>BASP1</v>
      </c>
      <c r="AX47" s="181">
        <v>7</v>
      </c>
      <c r="AY47" s="184">
        <v>16702.62</v>
      </c>
      <c r="AZ47" s="180" t="str">
        <f t="shared" si="39"/>
        <v>BASP2</v>
      </c>
      <c r="BA47" s="181">
        <v>7</v>
      </c>
      <c r="BB47" s="184">
        <v>18149.39</v>
      </c>
      <c r="BC47" s="180" t="str">
        <f t="shared" si="40"/>
        <v>BASP3</v>
      </c>
      <c r="BD47" s="181">
        <v>7</v>
      </c>
      <c r="BE47" s="184">
        <v>19238.310000000001</v>
      </c>
      <c r="BF47" s="180" t="str">
        <f t="shared" si="41"/>
        <v>BASP4</v>
      </c>
      <c r="BG47" s="181">
        <v>7</v>
      </c>
      <c r="BH47" s="184">
        <v>20738.310000000001</v>
      </c>
    </row>
    <row r="48" spans="1:69" x14ac:dyDescent="0.2">
      <c r="A48" s="180" t="str">
        <f t="shared" si="22"/>
        <v>O1</v>
      </c>
      <c r="B48" s="181">
        <v>8</v>
      </c>
      <c r="C48" s="184">
        <v>25011.35</v>
      </c>
      <c r="D48" s="180" t="str">
        <f t="shared" si="23"/>
        <v>O2</v>
      </c>
      <c r="E48" s="181">
        <v>8</v>
      </c>
      <c r="F48" s="183">
        <v>29007.38</v>
      </c>
      <c r="G48" s="180" t="str">
        <f t="shared" si="24"/>
        <v>O3</v>
      </c>
      <c r="H48" s="181">
        <v>8</v>
      </c>
      <c r="I48" s="184">
        <v>31982.080000000002</v>
      </c>
      <c r="J48" s="180" t="str">
        <f t="shared" si="25"/>
        <v>O4</v>
      </c>
      <c r="K48" s="181">
        <v>8</v>
      </c>
      <c r="L48" s="184">
        <v>35303.870000000003</v>
      </c>
      <c r="M48" s="180" t="str">
        <f t="shared" si="26"/>
        <v>O5</v>
      </c>
      <c r="N48" s="181">
        <v>8</v>
      </c>
      <c r="O48" s="184">
        <v>41997</v>
      </c>
      <c r="P48" s="180" t="str">
        <f t="shared" si="27"/>
        <v>O6</v>
      </c>
      <c r="Q48" s="181">
        <v>8</v>
      </c>
      <c r="R48" s="184">
        <v>43558.73</v>
      </c>
      <c r="S48" s="180" t="str">
        <f t="shared" si="28"/>
        <v>O7</v>
      </c>
      <c r="T48" s="181">
        <v>8</v>
      </c>
      <c r="U48" s="183">
        <v>43831.41</v>
      </c>
      <c r="V48" s="180" t="str">
        <f t="shared" si="29"/>
        <v>O8</v>
      </c>
      <c r="W48" s="181">
        <v>8</v>
      </c>
      <c r="X48" s="183">
        <v>48293.46</v>
      </c>
      <c r="Y48" s="180" t="str">
        <f t="shared" si="30"/>
        <v>O4bis-ir</v>
      </c>
      <c r="Z48" s="181">
        <v>8</v>
      </c>
      <c r="AA48" s="184">
        <v>40781.53</v>
      </c>
      <c r="AB48" s="180" t="str">
        <f t="shared" si="31"/>
        <v>O2ir</v>
      </c>
      <c r="AC48" s="181">
        <v>8</v>
      </c>
      <c r="AD48" s="184">
        <v>31984.240000000002</v>
      </c>
      <c r="AE48" s="180" t="str">
        <f t="shared" si="32"/>
        <v>O3ir</v>
      </c>
      <c r="AF48" s="181">
        <v>8</v>
      </c>
      <c r="AG48" s="184">
        <v>35315.919999999998</v>
      </c>
      <c r="AH48" s="180" t="str">
        <f t="shared" si="33"/>
        <v>O4ir</v>
      </c>
      <c r="AI48" s="181">
        <v>8</v>
      </c>
      <c r="AJ48" s="184">
        <v>36945.08</v>
      </c>
      <c r="AK48" s="180" t="str">
        <f t="shared" si="34"/>
        <v>O5ir</v>
      </c>
      <c r="AL48" s="181">
        <v>8</v>
      </c>
      <c r="AM48" s="184">
        <v>44039.81</v>
      </c>
      <c r="AN48" s="180" t="str">
        <f t="shared" si="35"/>
        <v>O6ir</v>
      </c>
      <c r="AO48" s="181">
        <v>8</v>
      </c>
      <c r="AP48" s="184">
        <v>43970.94</v>
      </c>
      <c r="AQ48" s="180" t="str">
        <f t="shared" si="36"/>
        <v>O4bis</v>
      </c>
      <c r="AR48" s="181">
        <v>8</v>
      </c>
      <c r="AS48" s="184">
        <v>38473.120000000003</v>
      </c>
      <c r="AT48" s="180" t="str">
        <f t="shared" si="37"/>
        <v>O8bis</v>
      </c>
      <c r="AU48" s="181">
        <v>8</v>
      </c>
      <c r="AV48" s="184">
        <v>56073.55</v>
      </c>
      <c r="AW48" s="180" t="str">
        <f t="shared" si="38"/>
        <v>BASP1</v>
      </c>
      <c r="AX48" s="181">
        <v>8</v>
      </c>
      <c r="AY48" s="184">
        <v>16702.62</v>
      </c>
      <c r="AZ48" s="180" t="str">
        <f t="shared" si="39"/>
        <v>BASP2</v>
      </c>
      <c r="BA48" s="181">
        <v>8</v>
      </c>
      <c r="BB48" s="184">
        <v>18149.39</v>
      </c>
      <c r="BC48" s="180" t="str">
        <f t="shared" si="40"/>
        <v>BASP3</v>
      </c>
      <c r="BD48" s="181">
        <v>8</v>
      </c>
      <c r="BE48" s="184">
        <v>19238.310000000001</v>
      </c>
      <c r="BF48" s="180" t="str">
        <f t="shared" si="41"/>
        <v>BASP4</v>
      </c>
      <c r="BG48" s="181">
        <v>8</v>
      </c>
      <c r="BH48" s="184">
        <v>20738.310000000001</v>
      </c>
    </row>
    <row r="49" spans="1:60" x14ac:dyDescent="0.2">
      <c r="A49" s="180" t="str">
        <f t="shared" si="22"/>
        <v>O1</v>
      </c>
      <c r="B49" s="181">
        <v>9</v>
      </c>
      <c r="C49" s="184">
        <v>25447.65</v>
      </c>
      <c r="D49" s="180" t="str">
        <f t="shared" si="23"/>
        <v>O2</v>
      </c>
      <c r="E49" s="181">
        <v>9</v>
      </c>
      <c r="F49" s="183">
        <v>29602.33</v>
      </c>
      <c r="G49" s="180" t="str">
        <f t="shared" si="24"/>
        <v>O3</v>
      </c>
      <c r="H49" s="181">
        <v>9</v>
      </c>
      <c r="I49" s="184">
        <v>32824.92</v>
      </c>
      <c r="J49" s="180" t="str">
        <f t="shared" si="25"/>
        <v>O4</v>
      </c>
      <c r="K49" s="181">
        <v>9</v>
      </c>
      <c r="L49" s="184">
        <v>36221.08</v>
      </c>
      <c r="M49" s="180" t="str">
        <f t="shared" si="26"/>
        <v>O5</v>
      </c>
      <c r="N49" s="181">
        <v>9</v>
      </c>
      <c r="O49" s="184">
        <v>42939</v>
      </c>
      <c r="P49" s="180" t="str">
        <f t="shared" si="27"/>
        <v>O6</v>
      </c>
      <c r="Q49" s="181">
        <v>9</v>
      </c>
      <c r="R49" s="184">
        <v>44525.52</v>
      </c>
      <c r="S49" s="180" t="str">
        <f t="shared" si="28"/>
        <v>O7</v>
      </c>
      <c r="T49" s="181">
        <v>9</v>
      </c>
      <c r="U49" s="183">
        <v>43831.41</v>
      </c>
      <c r="V49" s="180" t="str">
        <f t="shared" si="29"/>
        <v>O8</v>
      </c>
      <c r="W49" s="181">
        <v>9</v>
      </c>
      <c r="X49" s="183">
        <v>48293.46</v>
      </c>
      <c r="Y49" s="180" t="str">
        <f t="shared" si="30"/>
        <v>O4bis-ir</v>
      </c>
      <c r="Z49" s="181">
        <v>9</v>
      </c>
      <c r="AA49" s="184">
        <v>41806.33</v>
      </c>
      <c r="AB49" s="180" t="str">
        <f t="shared" si="31"/>
        <v>O2ir</v>
      </c>
      <c r="AC49" s="181">
        <v>9</v>
      </c>
      <c r="AD49" s="184">
        <v>32650.58</v>
      </c>
      <c r="AE49" s="180" t="str">
        <f t="shared" si="32"/>
        <v>O3ir</v>
      </c>
      <c r="AF49" s="181">
        <v>9</v>
      </c>
      <c r="AG49" s="184">
        <v>36259.9</v>
      </c>
      <c r="AH49" s="180" t="str">
        <f t="shared" si="33"/>
        <v>O4ir</v>
      </c>
      <c r="AI49" s="181">
        <v>9</v>
      </c>
      <c r="AJ49" s="184">
        <v>37917.32</v>
      </c>
      <c r="AK49" s="180" t="str">
        <f t="shared" si="34"/>
        <v>O5ir</v>
      </c>
      <c r="AL49" s="181">
        <v>9</v>
      </c>
      <c r="AM49" s="184">
        <v>45038.33</v>
      </c>
      <c r="AN49" s="180" t="str">
        <f t="shared" si="35"/>
        <v>O6ir</v>
      </c>
      <c r="AO49" s="181">
        <v>9</v>
      </c>
      <c r="AP49" s="184">
        <v>44957.07</v>
      </c>
      <c r="AQ49" s="180" t="str">
        <f t="shared" si="36"/>
        <v>O4bis</v>
      </c>
      <c r="AR49" s="181">
        <v>9</v>
      </c>
      <c r="AS49" s="184">
        <v>39439.910000000003</v>
      </c>
      <c r="AT49" s="180" t="str">
        <f t="shared" si="37"/>
        <v>O8bis</v>
      </c>
      <c r="AU49" s="181">
        <v>9</v>
      </c>
      <c r="AV49" s="184">
        <v>56073.55</v>
      </c>
      <c r="AW49" s="180" t="str">
        <f t="shared" si="38"/>
        <v>BASP1</v>
      </c>
      <c r="AX49" s="181">
        <v>9</v>
      </c>
      <c r="AY49" s="184">
        <v>17146.23</v>
      </c>
      <c r="AZ49" s="180" t="str">
        <f t="shared" si="39"/>
        <v>BASP2</v>
      </c>
      <c r="BA49" s="181">
        <v>9</v>
      </c>
      <c r="BB49" s="184">
        <v>18864.52</v>
      </c>
      <c r="BC49" s="180" t="str">
        <f t="shared" si="40"/>
        <v>BASP3</v>
      </c>
      <c r="BD49" s="181">
        <v>9</v>
      </c>
      <c r="BE49" s="184">
        <v>19861.919999999998</v>
      </c>
      <c r="BF49" s="180" t="str">
        <f t="shared" si="41"/>
        <v>BASP4</v>
      </c>
      <c r="BG49" s="181">
        <v>9</v>
      </c>
      <c r="BH49" s="184">
        <v>21361.919999999998</v>
      </c>
    </row>
    <row r="50" spans="1:60" x14ac:dyDescent="0.2">
      <c r="A50" s="180" t="str">
        <f t="shared" si="22"/>
        <v>O1</v>
      </c>
      <c r="B50" s="181">
        <v>10</v>
      </c>
      <c r="C50" s="184">
        <v>25883.95</v>
      </c>
      <c r="D50" s="180" t="str">
        <f t="shared" si="23"/>
        <v>O2</v>
      </c>
      <c r="E50" s="181">
        <v>10</v>
      </c>
      <c r="F50" s="183">
        <v>30197.279999999999</v>
      </c>
      <c r="G50" s="180" t="str">
        <f t="shared" si="24"/>
        <v>O3</v>
      </c>
      <c r="H50" s="181">
        <v>10</v>
      </c>
      <c r="I50" s="184">
        <v>33667.760000000002</v>
      </c>
      <c r="J50" s="180" t="str">
        <f t="shared" si="25"/>
        <v>O4</v>
      </c>
      <c r="K50" s="181">
        <v>10</v>
      </c>
      <c r="L50" s="184">
        <v>37138.29</v>
      </c>
      <c r="M50" s="180" t="str">
        <f t="shared" si="26"/>
        <v>O5</v>
      </c>
      <c r="N50" s="181">
        <v>10</v>
      </c>
      <c r="O50" s="184">
        <v>43881</v>
      </c>
      <c r="P50" s="180" t="str">
        <f t="shared" si="27"/>
        <v>O6</v>
      </c>
      <c r="Q50" s="181">
        <v>10</v>
      </c>
      <c r="R50" s="184">
        <v>45492.31</v>
      </c>
      <c r="S50" s="180" t="str">
        <f t="shared" si="28"/>
        <v>O7</v>
      </c>
      <c r="T50" s="181">
        <v>10</v>
      </c>
      <c r="U50" s="183">
        <v>45318.78</v>
      </c>
      <c r="V50" s="180" t="str">
        <f t="shared" si="29"/>
        <v>O8</v>
      </c>
      <c r="W50" s="181">
        <v>10</v>
      </c>
      <c r="X50" s="183">
        <v>49904.77</v>
      </c>
      <c r="Y50" s="180" t="str">
        <f t="shared" si="30"/>
        <v>O4bis-ir</v>
      </c>
      <c r="Z50" s="181">
        <v>10</v>
      </c>
      <c r="AA50" s="184">
        <v>42831.13</v>
      </c>
      <c r="AB50" s="180" t="str">
        <f t="shared" si="31"/>
        <v>O2ir</v>
      </c>
      <c r="AC50" s="181">
        <v>10</v>
      </c>
      <c r="AD50" s="184">
        <v>33316.92</v>
      </c>
      <c r="AE50" s="180" t="str">
        <f t="shared" si="32"/>
        <v>O3ir</v>
      </c>
      <c r="AF50" s="181">
        <v>10</v>
      </c>
      <c r="AG50" s="184">
        <v>37203.879999999997</v>
      </c>
      <c r="AH50" s="180" t="str">
        <f t="shared" si="33"/>
        <v>O4ir</v>
      </c>
      <c r="AI50" s="181">
        <v>10</v>
      </c>
      <c r="AJ50" s="184">
        <v>38889.56</v>
      </c>
      <c r="AK50" s="180" t="str">
        <f t="shared" si="34"/>
        <v>O5ir</v>
      </c>
      <c r="AL50" s="181">
        <v>10</v>
      </c>
      <c r="AM50" s="184">
        <v>46036.85</v>
      </c>
      <c r="AN50" s="180" t="str">
        <f t="shared" si="35"/>
        <v>O6ir</v>
      </c>
      <c r="AO50" s="181">
        <v>10</v>
      </c>
      <c r="AP50" s="184">
        <v>45943.199999999997</v>
      </c>
      <c r="AQ50" s="180" t="str">
        <f t="shared" si="36"/>
        <v>O4bis</v>
      </c>
      <c r="AR50" s="181">
        <v>10</v>
      </c>
      <c r="AS50" s="184">
        <v>40406.699999999997</v>
      </c>
      <c r="AT50" s="180" t="str">
        <f t="shared" si="37"/>
        <v>O8bis</v>
      </c>
      <c r="AU50" s="181">
        <v>10</v>
      </c>
      <c r="AV50" s="184">
        <v>57511.34</v>
      </c>
      <c r="AW50" s="180" t="str">
        <f t="shared" si="38"/>
        <v>BASP1</v>
      </c>
      <c r="AX50" s="181">
        <v>10</v>
      </c>
      <c r="AY50" s="184">
        <v>17146.23</v>
      </c>
      <c r="AZ50" s="180" t="str">
        <f t="shared" si="39"/>
        <v>BASP2</v>
      </c>
      <c r="BA50" s="181">
        <v>10</v>
      </c>
      <c r="BB50" s="184">
        <v>18864.52</v>
      </c>
      <c r="BC50" s="180" t="str">
        <f t="shared" si="40"/>
        <v>BASP3</v>
      </c>
      <c r="BD50" s="181">
        <v>10</v>
      </c>
      <c r="BE50" s="184">
        <v>19861.919999999998</v>
      </c>
      <c r="BF50" s="180" t="str">
        <f t="shared" si="41"/>
        <v>BASP4</v>
      </c>
      <c r="BG50" s="181">
        <v>10</v>
      </c>
      <c r="BH50" s="184">
        <v>21361.919999999998</v>
      </c>
    </row>
    <row r="51" spans="1:60" x14ac:dyDescent="0.2">
      <c r="A51" s="180" t="str">
        <f t="shared" si="22"/>
        <v>O1</v>
      </c>
      <c r="B51" s="181">
        <v>11</v>
      </c>
      <c r="C51" s="184">
        <v>26320.25</v>
      </c>
      <c r="D51" s="180" t="str">
        <f t="shared" si="23"/>
        <v>O2</v>
      </c>
      <c r="E51" s="181">
        <v>11</v>
      </c>
      <c r="F51" s="183">
        <v>30792.23</v>
      </c>
      <c r="G51" s="180" t="str">
        <f t="shared" si="24"/>
        <v>O3</v>
      </c>
      <c r="H51" s="181">
        <v>11</v>
      </c>
      <c r="I51" s="184">
        <v>34411.449999999997</v>
      </c>
      <c r="J51" s="180" t="str">
        <f t="shared" si="25"/>
        <v>O4</v>
      </c>
      <c r="K51" s="181">
        <v>11</v>
      </c>
      <c r="L51" s="184">
        <v>38030.71</v>
      </c>
      <c r="M51" s="180" t="str">
        <f t="shared" si="26"/>
        <v>O5</v>
      </c>
      <c r="N51" s="181">
        <v>11</v>
      </c>
      <c r="O51" s="184">
        <v>44823</v>
      </c>
      <c r="P51" s="180" t="str">
        <f t="shared" si="27"/>
        <v>O6</v>
      </c>
      <c r="Q51" s="181">
        <v>11</v>
      </c>
      <c r="R51" s="184">
        <v>46459.1</v>
      </c>
      <c r="S51" s="180" t="str">
        <f t="shared" si="28"/>
        <v>O7</v>
      </c>
      <c r="T51" s="181">
        <v>11</v>
      </c>
      <c r="U51" s="183">
        <v>45318.78</v>
      </c>
      <c r="V51" s="180" t="str">
        <f t="shared" si="29"/>
        <v>O8</v>
      </c>
      <c r="W51" s="181">
        <v>11</v>
      </c>
      <c r="X51" s="183">
        <v>49904.77</v>
      </c>
      <c r="Y51" s="180" t="str">
        <f t="shared" si="30"/>
        <v>O4bis-ir</v>
      </c>
      <c r="Z51" s="181">
        <v>11</v>
      </c>
      <c r="AA51" s="184">
        <v>43855.93</v>
      </c>
      <c r="AB51" s="180" t="str">
        <f t="shared" si="31"/>
        <v>O2ir</v>
      </c>
      <c r="AC51" s="181">
        <v>11</v>
      </c>
      <c r="AD51" s="184">
        <v>33983.26</v>
      </c>
      <c r="AE51" s="180" t="str">
        <f t="shared" si="32"/>
        <v>O3ir</v>
      </c>
      <c r="AF51" s="181">
        <v>11</v>
      </c>
      <c r="AG51" s="184">
        <v>38036.81</v>
      </c>
      <c r="AH51" s="180" t="str">
        <f t="shared" si="33"/>
        <v>O4ir</v>
      </c>
      <c r="AI51" s="181">
        <v>11</v>
      </c>
      <c r="AJ51" s="184">
        <v>39835.53</v>
      </c>
      <c r="AK51" s="180" t="str">
        <f t="shared" si="34"/>
        <v>O5ir</v>
      </c>
      <c r="AL51" s="181">
        <v>11</v>
      </c>
      <c r="AM51" s="184">
        <v>47035.37</v>
      </c>
      <c r="AN51" s="180" t="str">
        <f t="shared" si="35"/>
        <v>O6ir</v>
      </c>
      <c r="AO51" s="181">
        <v>11</v>
      </c>
      <c r="AP51" s="184">
        <v>46929.33</v>
      </c>
      <c r="AQ51" s="180" t="str">
        <f t="shared" si="36"/>
        <v>O4bis</v>
      </c>
      <c r="AR51" s="181">
        <v>11</v>
      </c>
      <c r="AS51" s="184">
        <v>41373.49</v>
      </c>
      <c r="AT51" s="180" t="str">
        <f t="shared" si="37"/>
        <v>O8bis</v>
      </c>
      <c r="AU51" s="181">
        <v>11</v>
      </c>
      <c r="AV51" s="184">
        <v>57511.34</v>
      </c>
      <c r="AW51" s="180" t="str">
        <f t="shared" si="38"/>
        <v>BASP1</v>
      </c>
      <c r="AX51" s="181">
        <v>11</v>
      </c>
      <c r="AY51" s="184">
        <v>17769.84</v>
      </c>
      <c r="AZ51" s="180" t="str">
        <f t="shared" si="39"/>
        <v>BASP2</v>
      </c>
      <c r="BA51" s="181">
        <v>11</v>
      </c>
      <c r="BB51" s="184">
        <v>19219.650000000001</v>
      </c>
      <c r="BC51" s="180" t="str">
        <f t="shared" si="40"/>
        <v>BASP3</v>
      </c>
      <c r="BD51" s="181">
        <v>11</v>
      </c>
      <c r="BE51" s="184">
        <v>20485.53</v>
      </c>
      <c r="BF51" s="180" t="str">
        <f t="shared" si="41"/>
        <v>BASP4</v>
      </c>
      <c r="BG51" s="181">
        <v>11</v>
      </c>
      <c r="BH51" s="184">
        <v>21985.53</v>
      </c>
    </row>
    <row r="52" spans="1:60" x14ac:dyDescent="0.2">
      <c r="A52" s="180" t="str">
        <f t="shared" si="22"/>
        <v>O1</v>
      </c>
      <c r="B52" s="181">
        <v>12</v>
      </c>
      <c r="C52" s="184">
        <v>26756.55</v>
      </c>
      <c r="D52" s="180" t="str">
        <f t="shared" si="23"/>
        <v>O2</v>
      </c>
      <c r="E52" s="181">
        <v>12</v>
      </c>
      <c r="F52" s="183">
        <v>31387.18</v>
      </c>
      <c r="G52" s="180" t="str">
        <f t="shared" si="24"/>
        <v>O3</v>
      </c>
      <c r="H52" s="181">
        <v>12</v>
      </c>
      <c r="I52" s="184">
        <v>35155.14</v>
      </c>
      <c r="J52" s="180" t="str">
        <f t="shared" si="25"/>
        <v>O4</v>
      </c>
      <c r="K52" s="181">
        <v>12</v>
      </c>
      <c r="L52" s="184">
        <v>38923.129999999997</v>
      </c>
      <c r="M52" s="180" t="str">
        <f t="shared" si="26"/>
        <v>O5</v>
      </c>
      <c r="N52" s="181">
        <v>12</v>
      </c>
      <c r="O52" s="184">
        <v>45765</v>
      </c>
      <c r="P52" s="180" t="str">
        <f t="shared" si="27"/>
        <v>O6</v>
      </c>
      <c r="Q52" s="181">
        <v>12</v>
      </c>
      <c r="R52" s="184">
        <v>47425.89</v>
      </c>
      <c r="S52" s="180" t="str">
        <f t="shared" si="28"/>
        <v>O7</v>
      </c>
      <c r="T52" s="181">
        <v>12</v>
      </c>
      <c r="U52" s="183">
        <v>46806.15</v>
      </c>
      <c r="V52" s="180" t="str">
        <f t="shared" si="29"/>
        <v>O8</v>
      </c>
      <c r="W52" s="181">
        <v>12</v>
      </c>
      <c r="X52" s="183">
        <v>51516.08</v>
      </c>
      <c r="Y52" s="180" t="str">
        <f t="shared" si="30"/>
        <v>O4bis-ir</v>
      </c>
      <c r="Z52" s="181">
        <v>12</v>
      </c>
      <c r="AA52" s="184">
        <v>44880.73</v>
      </c>
      <c r="AB52" s="180" t="str">
        <f t="shared" si="31"/>
        <v>O2ir</v>
      </c>
      <c r="AC52" s="181">
        <v>12</v>
      </c>
      <c r="AD52" s="184">
        <v>34649.599999999999</v>
      </c>
      <c r="AE52" s="180" t="str">
        <f t="shared" si="32"/>
        <v>O3ir</v>
      </c>
      <c r="AF52" s="181">
        <v>12</v>
      </c>
      <c r="AG52" s="184">
        <v>38869.74</v>
      </c>
      <c r="AH52" s="180" t="str">
        <f t="shared" si="33"/>
        <v>O4ir</v>
      </c>
      <c r="AI52" s="181">
        <v>12</v>
      </c>
      <c r="AJ52" s="184">
        <v>40781.5</v>
      </c>
      <c r="AK52" s="180" t="str">
        <f t="shared" si="34"/>
        <v>O5ir</v>
      </c>
      <c r="AL52" s="181">
        <v>12</v>
      </c>
      <c r="AM52" s="184">
        <v>48033.89</v>
      </c>
      <c r="AN52" s="180" t="str">
        <f t="shared" si="35"/>
        <v>O6ir</v>
      </c>
      <c r="AO52" s="181">
        <v>12</v>
      </c>
      <c r="AP52" s="184">
        <v>47915.46</v>
      </c>
      <c r="AQ52" s="180" t="str">
        <f t="shared" si="36"/>
        <v>O4bis</v>
      </c>
      <c r="AR52" s="181">
        <v>12</v>
      </c>
      <c r="AS52" s="184">
        <v>42340.28</v>
      </c>
      <c r="AT52" s="180" t="str">
        <f t="shared" si="37"/>
        <v>O8bis</v>
      </c>
      <c r="AU52" s="181">
        <v>12</v>
      </c>
      <c r="AV52" s="184">
        <v>58949.13</v>
      </c>
      <c r="AW52" s="180" t="str">
        <f t="shared" si="38"/>
        <v>BASP1</v>
      </c>
      <c r="AX52" s="181">
        <v>12</v>
      </c>
      <c r="AY52" s="184">
        <v>17769.84</v>
      </c>
      <c r="AZ52" s="180" t="str">
        <f t="shared" si="39"/>
        <v>BASP2</v>
      </c>
      <c r="BA52" s="181">
        <v>12</v>
      </c>
      <c r="BB52" s="184">
        <v>19219.650000000001</v>
      </c>
      <c r="BC52" s="180" t="str">
        <f t="shared" si="40"/>
        <v>BASP3</v>
      </c>
      <c r="BD52" s="181">
        <v>12</v>
      </c>
      <c r="BE52" s="184">
        <v>20485.53</v>
      </c>
      <c r="BF52" s="180" t="str">
        <f t="shared" si="41"/>
        <v>BASP4</v>
      </c>
      <c r="BG52" s="181">
        <v>12</v>
      </c>
      <c r="BH52" s="184">
        <v>21985.53</v>
      </c>
    </row>
    <row r="53" spans="1:60" x14ac:dyDescent="0.2">
      <c r="A53" s="180" t="str">
        <f t="shared" si="22"/>
        <v>O1</v>
      </c>
      <c r="B53" s="181">
        <v>13</v>
      </c>
      <c r="C53" s="184">
        <v>27192.85</v>
      </c>
      <c r="D53" s="180" t="str">
        <f t="shared" si="23"/>
        <v>O2</v>
      </c>
      <c r="E53" s="181">
        <v>13</v>
      </c>
      <c r="F53" s="183">
        <v>31982.13</v>
      </c>
      <c r="G53" s="180" t="str">
        <f t="shared" si="24"/>
        <v>O3</v>
      </c>
      <c r="H53" s="181">
        <v>13</v>
      </c>
      <c r="I53" s="184">
        <v>35551.769999999997</v>
      </c>
      <c r="J53" s="180" t="str">
        <f t="shared" si="25"/>
        <v>O4</v>
      </c>
      <c r="K53" s="181">
        <v>13</v>
      </c>
      <c r="L53" s="184">
        <v>39344.550000000003</v>
      </c>
      <c r="M53" s="180" t="str">
        <f t="shared" si="26"/>
        <v>O5</v>
      </c>
      <c r="N53" s="181">
        <v>13</v>
      </c>
      <c r="O53" s="184">
        <v>46000.5</v>
      </c>
      <c r="P53" s="180" t="str">
        <f t="shared" si="27"/>
        <v>O6</v>
      </c>
      <c r="Q53" s="181">
        <v>13</v>
      </c>
      <c r="R53" s="184">
        <v>47797.74</v>
      </c>
      <c r="S53" s="180" t="str">
        <f t="shared" si="28"/>
        <v>O7</v>
      </c>
      <c r="T53" s="181">
        <v>13</v>
      </c>
      <c r="U53" s="183">
        <v>46806.15</v>
      </c>
      <c r="V53" s="180" t="str">
        <f t="shared" si="29"/>
        <v>O8</v>
      </c>
      <c r="W53" s="181">
        <v>13</v>
      </c>
      <c r="X53" s="183">
        <v>51516.08</v>
      </c>
      <c r="Y53" s="180" t="str">
        <f t="shared" si="30"/>
        <v>O4bis-ir</v>
      </c>
      <c r="Z53" s="181">
        <v>13</v>
      </c>
      <c r="AA53" s="184">
        <v>45353.72</v>
      </c>
      <c r="AB53" s="180" t="str">
        <f t="shared" si="31"/>
        <v>O2ir</v>
      </c>
      <c r="AC53" s="181">
        <v>13</v>
      </c>
      <c r="AD53" s="184">
        <v>35315.94</v>
      </c>
      <c r="AE53" s="180" t="str">
        <f t="shared" si="32"/>
        <v>O3ir</v>
      </c>
      <c r="AF53" s="181">
        <v>13</v>
      </c>
      <c r="AG53" s="184">
        <v>39313.97</v>
      </c>
      <c r="AH53" s="180" t="str">
        <f t="shared" si="33"/>
        <v>O4ir</v>
      </c>
      <c r="AI53" s="181">
        <v>13</v>
      </c>
      <c r="AJ53" s="184">
        <v>41228.21</v>
      </c>
      <c r="AK53" s="180" t="str">
        <f t="shared" si="34"/>
        <v>O5ir</v>
      </c>
      <c r="AL53" s="181">
        <v>13</v>
      </c>
      <c r="AM53" s="184">
        <v>48283.519999999997</v>
      </c>
      <c r="AN53" s="180" t="str">
        <f t="shared" si="35"/>
        <v>O6ir</v>
      </c>
      <c r="AO53" s="181">
        <v>13</v>
      </c>
      <c r="AP53" s="184">
        <v>48294.74</v>
      </c>
      <c r="AQ53" s="180" t="str">
        <f t="shared" si="36"/>
        <v>O4bis</v>
      </c>
      <c r="AR53" s="181">
        <v>13</v>
      </c>
      <c r="AS53" s="184">
        <v>42786.49</v>
      </c>
      <c r="AT53" s="180" t="str">
        <f t="shared" si="37"/>
        <v>O8bis</v>
      </c>
      <c r="AU53" s="181">
        <v>13</v>
      </c>
      <c r="AV53" s="184">
        <v>58949.13</v>
      </c>
      <c r="AW53" s="180" t="str">
        <f t="shared" si="38"/>
        <v>BASP1</v>
      </c>
      <c r="AX53" s="181">
        <v>13</v>
      </c>
      <c r="AY53" s="184">
        <v>18573.45</v>
      </c>
      <c r="AZ53" s="180" t="str">
        <f t="shared" si="39"/>
        <v>BASP2</v>
      </c>
      <c r="BA53" s="181">
        <v>13</v>
      </c>
      <c r="BB53" s="184">
        <v>19754.78</v>
      </c>
      <c r="BC53" s="180" t="str">
        <f t="shared" si="40"/>
        <v>BASP3</v>
      </c>
      <c r="BD53" s="181">
        <v>13</v>
      </c>
      <c r="BE53" s="184">
        <v>21109.14</v>
      </c>
      <c r="BF53" s="180" t="str">
        <f t="shared" si="41"/>
        <v>BASP4</v>
      </c>
      <c r="BG53" s="181">
        <v>13</v>
      </c>
      <c r="BH53" s="184">
        <v>22609.14</v>
      </c>
    </row>
    <row r="54" spans="1:60" x14ac:dyDescent="0.2">
      <c r="A54" s="180" t="str">
        <f t="shared" si="22"/>
        <v>O1</v>
      </c>
      <c r="B54" s="181">
        <v>14</v>
      </c>
      <c r="C54" s="184">
        <v>27443.23</v>
      </c>
      <c r="D54" s="180" t="str">
        <f t="shared" si="23"/>
        <v>O2</v>
      </c>
      <c r="E54" s="181">
        <v>14</v>
      </c>
      <c r="F54" s="183">
        <v>32329.19</v>
      </c>
      <c r="G54" s="180" t="str">
        <f t="shared" si="24"/>
        <v>O3</v>
      </c>
      <c r="H54" s="181">
        <v>14</v>
      </c>
      <c r="I54" s="184">
        <v>35948.400000000001</v>
      </c>
      <c r="J54" s="180" t="str">
        <f t="shared" si="25"/>
        <v>O4</v>
      </c>
      <c r="K54" s="181">
        <v>14</v>
      </c>
      <c r="L54" s="184">
        <v>39765.97</v>
      </c>
      <c r="M54" s="180" t="str">
        <f t="shared" si="26"/>
        <v>O5</v>
      </c>
      <c r="N54" s="181">
        <v>14</v>
      </c>
      <c r="O54" s="184">
        <v>46236</v>
      </c>
      <c r="P54" s="180" t="str">
        <f t="shared" si="27"/>
        <v>O6</v>
      </c>
      <c r="Q54" s="181">
        <v>14</v>
      </c>
      <c r="R54" s="184">
        <v>48169.59</v>
      </c>
      <c r="S54" s="180" t="str">
        <f t="shared" si="28"/>
        <v>O7</v>
      </c>
      <c r="T54" s="181">
        <v>14</v>
      </c>
      <c r="U54" s="183">
        <v>48293.52</v>
      </c>
      <c r="V54" s="180" t="str">
        <f t="shared" si="29"/>
        <v>O8</v>
      </c>
      <c r="W54" s="181">
        <v>14</v>
      </c>
      <c r="X54" s="183">
        <v>53127.39</v>
      </c>
      <c r="Y54" s="180" t="str">
        <f t="shared" si="30"/>
        <v>O4bis-ir</v>
      </c>
      <c r="Z54" s="181">
        <v>14</v>
      </c>
      <c r="AA54" s="184">
        <v>45826.71</v>
      </c>
      <c r="AB54" s="180" t="str">
        <f t="shared" si="31"/>
        <v>O2ir</v>
      </c>
      <c r="AC54" s="181">
        <v>14</v>
      </c>
      <c r="AD54" s="184">
        <v>35704.639999999999</v>
      </c>
      <c r="AE54" s="180" t="str">
        <f t="shared" si="32"/>
        <v>O3ir</v>
      </c>
      <c r="AF54" s="181">
        <v>14</v>
      </c>
      <c r="AG54" s="184">
        <v>39758.199999999997</v>
      </c>
      <c r="AH54" s="180" t="str">
        <f t="shared" si="33"/>
        <v>O4ir</v>
      </c>
      <c r="AI54" s="181">
        <v>14</v>
      </c>
      <c r="AJ54" s="184">
        <v>41674.92</v>
      </c>
      <c r="AK54" s="180" t="str">
        <f t="shared" si="34"/>
        <v>O5ir</v>
      </c>
      <c r="AL54" s="181">
        <v>14</v>
      </c>
      <c r="AM54" s="184">
        <v>48533.15</v>
      </c>
      <c r="AN54" s="180" t="str">
        <f t="shared" si="35"/>
        <v>O6ir</v>
      </c>
      <c r="AO54" s="181">
        <v>14</v>
      </c>
      <c r="AP54" s="184">
        <v>48674.02</v>
      </c>
      <c r="AQ54" s="180" t="str">
        <f t="shared" si="36"/>
        <v>O4bis</v>
      </c>
      <c r="AR54" s="181">
        <v>14</v>
      </c>
      <c r="AS54" s="184">
        <v>43232.7</v>
      </c>
      <c r="AT54" s="180" t="str">
        <f t="shared" si="37"/>
        <v>O8bis</v>
      </c>
      <c r="AU54" s="181">
        <v>14</v>
      </c>
      <c r="AV54" s="184">
        <v>60386.92</v>
      </c>
      <c r="AW54" s="180" t="str">
        <f t="shared" si="38"/>
        <v>BASP1</v>
      </c>
      <c r="AX54" s="181">
        <v>14</v>
      </c>
      <c r="AY54" s="184">
        <v>18573.45</v>
      </c>
      <c r="AZ54" s="180" t="str">
        <f t="shared" si="39"/>
        <v>BASP2</v>
      </c>
      <c r="BA54" s="181">
        <v>14</v>
      </c>
      <c r="BB54" s="184">
        <v>19754.78</v>
      </c>
      <c r="BC54" s="180" t="str">
        <f t="shared" si="40"/>
        <v>BASP3</v>
      </c>
      <c r="BD54" s="181">
        <v>14</v>
      </c>
      <c r="BE54" s="184">
        <v>21109.14</v>
      </c>
      <c r="BF54" s="180" t="str">
        <f t="shared" si="41"/>
        <v>BASP4</v>
      </c>
      <c r="BG54" s="181">
        <v>14</v>
      </c>
      <c r="BH54" s="184">
        <v>22609.14</v>
      </c>
    </row>
    <row r="55" spans="1:60" x14ac:dyDescent="0.2">
      <c r="A55" s="180" t="str">
        <f t="shared" si="22"/>
        <v>O1</v>
      </c>
      <c r="B55" s="181">
        <v>15</v>
      </c>
      <c r="C55" s="184">
        <v>27693.61</v>
      </c>
      <c r="D55" s="180" t="str">
        <f t="shared" si="23"/>
        <v>O2</v>
      </c>
      <c r="E55" s="181">
        <v>15</v>
      </c>
      <c r="F55" s="183">
        <v>32676.25</v>
      </c>
      <c r="G55" s="180" t="str">
        <f t="shared" si="24"/>
        <v>O3</v>
      </c>
      <c r="H55" s="181">
        <v>15</v>
      </c>
      <c r="I55" s="184">
        <v>36345.03</v>
      </c>
      <c r="J55" s="180" t="str">
        <f t="shared" si="25"/>
        <v>O4</v>
      </c>
      <c r="K55" s="181">
        <v>15</v>
      </c>
      <c r="L55" s="184">
        <v>40187.39</v>
      </c>
      <c r="M55" s="180" t="str">
        <f t="shared" si="26"/>
        <v>O5</v>
      </c>
      <c r="N55" s="181">
        <v>15</v>
      </c>
      <c r="O55" s="184">
        <v>46471.5</v>
      </c>
      <c r="P55" s="180" t="str">
        <f t="shared" si="27"/>
        <v>O6</v>
      </c>
      <c r="Q55" s="181">
        <v>15</v>
      </c>
      <c r="R55" s="184">
        <v>48541.440000000002</v>
      </c>
      <c r="S55" s="180" t="str">
        <f t="shared" si="28"/>
        <v>O7</v>
      </c>
      <c r="T55" s="181">
        <v>15</v>
      </c>
      <c r="U55" s="183">
        <v>48293.52</v>
      </c>
      <c r="V55" s="180" t="str">
        <f t="shared" si="29"/>
        <v>O8</v>
      </c>
      <c r="W55" s="181">
        <v>15</v>
      </c>
      <c r="X55" s="183">
        <v>53127.39</v>
      </c>
      <c r="Y55" s="180" t="str">
        <f t="shared" si="30"/>
        <v>O4bis-ir</v>
      </c>
      <c r="Z55" s="181">
        <v>15</v>
      </c>
      <c r="AA55" s="184">
        <v>46299.7</v>
      </c>
      <c r="AB55" s="180" t="str">
        <f t="shared" si="31"/>
        <v>O2ir</v>
      </c>
      <c r="AC55" s="181">
        <v>15</v>
      </c>
      <c r="AD55" s="184">
        <v>36093.339999999997</v>
      </c>
      <c r="AE55" s="180" t="str">
        <f t="shared" si="32"/>
        <v>O3ir</v>
      </c>
      <c r="AF55" s="181">
        <v>15</v>
      </c>
      <c r="AG55" s="184">
        <v>40202.43</v>
      </c>
      <c r="AH55" s="180" t="str">
        <f t="shared" si="33"/>
        <v>O4ir</v>
      </c>
      <c r="AI55" s="181">
        <v>15</v>
      </c>
      <c r="AJ55" s="184">
        <v>42121.63</v>
      </c>
      <c r="AK55" s="180" t="str">
        <f t="shared" si="34"/>
        <v>O5ir</v>
      </c>
      <c r="AL55" s="181">
        <v>15</v>
      </c>
      <c r="AM55" s="184">
        <v>48782.78</v>
      </c>
      <c r="AN55" s="180" t="str">
        <f t="shared" si="35"/>
        <v>O6ir</v>
      </c>
      <c r="AO55" s="181">
        <v>15</v>
      </c>
      <c r="AP55" s="184">
        <v>49053.3</v>
      </c>
      <c r="AQ55" s="180" t="str">
        <f t="shared" si="36"/>
        <v>O4bis</v>
      </c>
      <c r="AR55" s="181">
        <v>15</v>
      </c>
      <c r="AS55" s="184">
        <v>43678.91</v>
      </c>
      <c r="AT55" s="180" t="str">
        <f t="shared" si="37"/>
        <v>O8bis</v>
      </c>
      <c r="AU55" s="181">
        <v>15</v>
      </c>
      <c r="AV55" s="184">
        <v>60386.92</v>
      </c>
      <c r="AW55" s="180" t="str">
        <f t="shared" si="38"/>
        <v>BASP1</v>
      </c>
      <c r="AX55" s="181">
        <v>15</v>
      </c>
      <c r="AY55" s="184">
        <v>19017.060000000001</v>
      </c>
      <c r="AZ55" s="180" t="str">
        <f t="shared" si="39"/>
        <v>BASP2</v>
      </c>
      <c r="BA55" s="181">
        <v>15</v>
      </c>
      <c r="BB55" s="184">
        <v>20289.91</v>
      </c>
      <c r="BC55" s="180" t="str">
        <f t="shared" si="40"/>
        <v>BASP3</v>
      </c>
      <c r="BD55" s="181">
        <v>15</v>
      </c>
      <c r="BE55" s="184">
        <v>21732.75</v>
      </c>
      <c r="BF55" s="180" t="str">
        <f t="shared" si="41"/>
        <v>BASP4</v>
      </c>
      <c r="BG55" s="181">
        <v>15</v>
      </c>
      <c r="BH55" s="184">
        <v>23232.75</v>
      </c>
    </row>
    <row r="56" spans="1:60" x14ac:dyDescent="0.2">
      <c r="A56" s="180" t="str">
        <f t="shared" si="22"/>
        <v>O1</v>
      </c>
      <c r="B56" s="181">
        <v>16</v>
      </c>
      <c r="C56" s="184">
        <v>27943.99</v>
      </c>
      <c r="D56" s="180" t="str">
        <f t="shared" si="23"/>
        <v>O2</v>
      </c>
      <c r="E56" s="181">
        <v>16</v>
      </c>
      <c r="F56" s="183">
        <v>32998.519999999997</v>
      </c>
      <c r="G56" s="180" t="str">
        <f t="shared" si="24"/>
        <v>O3</v>
      </c>
      <c r="H56" s="181">
        <v>16</v>
      </c>
      <c r="I56" s="184">
        <v>36741.660000000003</v>
      </c>
      <c r="J56" s="180" t="str">
        <f t="shared" si="25"/>
        <v>O4</v>
      </c>
      <c r="K56" s="181">
        <v>16</v>
      </c>
      <c r="L56" s="184">
        <v>40608.81</v>
      </c>
      <c r="M56" s="180" t="str">
        <f t="shared" si="26"/>
        <v>O5</v>
      </c>
      <c r="N56" s="181">
        <v>16</v>
      </c>
      <c r="O56" s="183">
        <v>46707</v>
      </c>
      <c r="P56" s="180" t="str">
        <f t="shared" si="27"/>
        <v>O6</v>
      </c>
      <c r="Q56" s="181">
        <v>16</v>
      </c>
      <c r="R56" s="183">
        <v>48913.29</v>
      </c>
      <c r="S56" s="180" t="str">
        <f t="shared" si="28"/>
        <v>O7</v>
      </c>
      <c r="T56" s="181">
        <v>16</v>
      </c>
      <c r="U56" s="183">
        <v>49780.89</v>
      </c>
      <c r="V56" s="180" t="str">
        <f t="shared" si="29"/>
        <v>O8</v>
      </c>
      <c r="W56" s="181">
        <v>16</v>
      </c>
      <c r="X56" s="183">
        <v>54738.7</v>
      </c>
      <c r="Y56" s="180" t="str">
        <f t="shared" si="30"/>
        <v>O4bis-ir</v>
      </c>
      <c r="Z56" s="181">
        <v>16</v>
      </c>
      <c r="AA56" s="184">
        <v>46772.69</v>
      </c>
      <c r="AB56" s="180" t="str">
        <f t="shared" si="31"/>
        <v>O2ir</v>
      </c>
      <c r="AC56" s="181">
        <v>16</v>
      </c>
      <c r="AD56" s="184">
        <v>36454.28</v>
      </c>
      <c r="AE56" s="180" t="str">
        <f t="shared" si="32"/>
        <v>O3ir</v>
      </c>
      <c r="AF56" s="181">
        <v>16</v>
      </c>
      <c r="AG56" s="184">
        <v>40646.660000000003</v>
      </c>
      <c r="AH56" s="180" t="str">
        <f t="shared" si="33"/>
        <v>O4ir</v>
      </c>
      <c r="AI56" s="181">
        <v>16</v>
      </c>
      <c r="AJ56" s="184">
        <v>42568.34</v>
      </c>
      <c r="AK56" s="180" t="str">
        <f t="shared" si="34"/>
        <v>O5ir</v>
      </c>
      <c r="AL56" s="181">
        <v>16</v>
      </c>
      <c r="AM56" s="184">
        <v>49032.41</v>
      </c>
      <c r="AN56" s="180" t="str">
        <f t="shared" si="35"/>
        <v>O6ir</v>
      </c>
      <c r="AO56" s="181">
        <v>16</v>
      </c>
      <c r="AP56" s="184">
        <v>49432.58</v>
      </c>
      <c r="AQ56" s="180" t="str">
        <f t="shared" si="36"/>
        <v>O4bis</v>
      </c>
      <c r="AR56" s="181">
        <v>16</v>
      </c>
      <c r="AS56" s="184">
        <v>44125.120000000003</v>
      </c>
      <c r="AT56" s="180" t="str">
        <f t="shared" si="37"/>
        <v>O8bis</v>
      </c>
      <c r="AU56" s="181">
        <v>16</v>
      </c>
      <c r="AV56" s="184">
        <v>61824.71</v>
      </c>
      <c r="AW56" s="180" t="str">
        <f t="shared" si="38"/>
        <v>BASP1</v>
      </c>
      <c r="AX56" s="181">
        <v>16</v>
      </c>
      <c r="AY56" s="184">
        <v>19017.060000000001</v>
      </c>
      <c r="AZ56" s="180" t="str">
        <f t="shared" si="39"/>
        <v>BASP2</v>
      </c>
      <c r="BA56" s="181">
        <v>16</v>
      </c>
      <c r="BB56" s="184">
        <v>20289.91</v>
      </c>
      <c r="BC56" s="180" t="str">
        <f t="shared" si="40"/>
        <v>BASP3</v>
      </c>
      <c r="BD56" s="181">
        <v>16</v>
      </c>
      <c r="BE56" s="184">
        <v>21732.75</v>
      </c>
      <c r="BF56" s="180" t="str">
        <f t="shared" si="41"/>
        <v>BASP4</v>
      </c>
      <c r="BG56" s="181">
        <v>16</v>
      </c>
      <c r="BH56" s="184">
        <v>23232.75</v>
      </c>
    </row>
    <row r="57" spans="1:60" x14ac:dyDescent="0.2">
      <c r="A57" s="180" t="str">
        <f t="shared" si="22"/>
        <v>O1</v>
      </c>
      <c r="B57" s="181">
        <v>17</v>
      </c>
      <c r="C57" s="184">
        <v>28194.37</v>
      </c>
      <c r="D57" s="180" t="str">
        <f t="shared" si="23"/>
        <v>O2</v>
      </c>
      <c r="E57" s="181">
        <v>17</v>
      </c>
      <c r="F57" s="183">
        <v>33320.79</v>
      </c>
      <c r="G57" s="180" t="str">
        <f t="shared" si="24"/>
        <v>O3</v>
      </c>
      <c r="H57" s="181">
        <v>17</v>
      </c>
      <c r="I57" s="184">
        <v>37138.29</v>
      </c>
      <c r="J57" s="180" t="str">
        <f t="shared" si="25"/>
        <v>O4</v>
      </c>
      <c r="K57" s="181">
        <v>17</v>
      </c>
      <c r="L57" s="184">
        <v>41030.230000000003</v>
      </c>
      <c r="M57" s="180" t="str">
        <f t="shared" si="26"/>
        <v>O5</v>
      </c>
      <c r="N57" s="181">
        <v>17</v>
      </c>
      <c r="O57" s="184">
        <v>46942.5</v>
      </c>
      <c r="P57" s="180" t="str">
        <f t="shared" si="27"/>
        <v>O6</v>
      </c>
      <c r="Q57" s="181">
        <v>17</v>
      </c>
      <c r="R57" s="184">
        <v>49285.14</v>
      </c>
      <c r="S57" s="180" t="str">
        <f t="shared" si="28"/>
        <v>O7</v>
      </c>
      <c r="T57" s="181">
        <v>17</v>
      </c>
      <c r="U57" s="183">
        <v>49780.89</v>
      </c>
      <c r="V57" s="180" t="str">
        <f t="shared" si="29"/>
        <v>O8</v>
      </c>
      <c r="W57" s="181">
        <v>17</v>
      </c>
      <c r="X57" s="183">
        <v>54738.7</v>
      </c>
      <c r="Y57" s="180" t="str">
        <f t="shared" si="30"/>
        <v>O4bis-ir</v>
      </c>
      <c r="Z57" s="181">
        <v>17</v>
      </c>
      <c r="AA57" s="184">
        <v>47245.68</v>
      </c>
      <c r="AB57" s="180" t="str">
        <f t="shared" si="31"/>
        <v>O2ir</v>
      </c>
      <c r="AC57" s="181">
        <v>17</v>
      </c>
      <c r="AD57" s="184">
        <v>36815.22</v>
      </c>
      <c r="AE57" s="180" t="str">
        <f t="shared" si="32"/>
        <v>O3ir</v>
      </c>
      <c r="AF57" s="181">
        <v>17</v>
      </c>
      <c r="AG57" s="184">
        <v>41090.89</v>
      </c>
      <c r="AH57" s="180" t="str">
        <f t="shared" si="33"/>
        <v>O4ir</v>
      </c>
      <c r="AI57" s="181">
        <v>17</v>
      </c>
      <c r="AJ57" s="184">
        <v>43015.05</v>
      </c>
      <c r="AK57" s="180" t="str">
        <f t="shared" si="34"/>
        <v>O5ir</v>
      </c>
      <c r="AL57" s="181">
        <v>17</v>
      </c>
      <c r="AM57" s="184">
        <v>49282.04</v>
      </c>
      <c r="AN57" s="180" t="str">
        <f t="shared" si="35"/>
        <v>O6ir</v>
      </c>
      <c r="AO57" s="181">
        <v>17</v>
      </c>
      <c r="AP57" s="184">
        <v>49811.86</v>
      </c>
      <c r="AQ57" s="180" t="str">
        <f t="shared" si="36"/>
        <v>O4bis</v>
      </c>
      <c r="AR57" s="181">
        <v>17</v>
      </c>
      <c r="AS57" s="184">
        <v>44571.33</v>
      </c>
      <c r="AT57" s="180" t="str">
        <f t="shared" si="37"/>
        <v>O8bis</v>
      </c>
      <c r="AU57" s="181">
        <v>17</v>
      </c>
      <c r="AV57" s="184">
        <v>61824.71</v>
      </c>
      <c r="AW57" s="180" t="str">
        <f t="shared" si="38"/>
        <v>BASP1</v>
      </c>
      <c r="AX57" s="181">
        <v>17</v>
      </c>
      <c r="AY57" s="184">
        <v>19640.669999999998</v>
      </c>
      <c r="AZ57" s="180" t="str">
        <f t="shared" si="39"/>
        <v>BASP2</v>
      </c>
      <c r="BA57" s="181">
        <v>17</v>
      </c>
      <c r="BB57" s="184">
        <v>20825.04</v>
      </c>
      <c r="BC57" s="180" t="str">
        <f t="shared" si="40"/>
        <v>BASP3</v>
      </c>
      <c r="BD57" s="181">
        <v>17</v>
      </c>
      <c r="BE57" s="184">
        <v>22356.36</v>
      </c>
      <c r="BF57" s="180" t="str">
        <f t="shared" si="41"/>
        <v>BASP4</v>
      </c>
      <c r="BG57" s="181">
        <v>17</v>
      </c>
      <c r="BH57" s="184">
        <v>23856.36</v>
      </c>
    </row>
    <row r="58" spans="1:60" x14ac:dyDescent="0.2">
      <c r="A58" s="180" t="str">
        <f t="shared" si="22"/>
        <v>O1</v>
      </c>
      <c r="B58" s="181">
        <v>18</v>
      </c>
      <c r="C58" s="184">
        <v>28444.75</v>
      </c>
      <c r="D58" s="180" t="str">
        <f t="shared" si="23"/>
        <v>O2</v>
      </c>
      <c r="E58" s="181">
        <v>18</v>
      </c>
      <c r="F58" s="183">
        <v>33643.06</v>
      </c>
      <c r="G58" s="180" t="str">
        <f t="shared" si="24"/>
        <v>O3</v>
      </c>
      <c r="H58" s="181">
        <v>18</v>
      </c>
      <c r="I58" s="184">
        <v>37534.92</v>
      </c>
      <c r="J58" s="180" t="str">
        <f t="shared" si="25"/>
        <v>O4</v>
      </c>
      <c r="K58" s="181">
        <v>18</v>
      </c>
      <c r="L58" s="184">
        <v>41451.65</v>
      </c>
      <c r="M58" s="180" t="str">
        <f t="shared" si="26"/>
        <v>O5</v>
      </c>
      <c r="N58" s="181">
        <v>18</v>
      </c>
      <c r="O58" s="184">
        <v>47178</v>
      </c>
      <c r="P58" s="180" t="str">
        <f t="shared" si="27"/>
        <v>O6</v>
      </c>
      <c r="Q58" s="181">
        <v>18</v>
      </c>
      <c r="R58" s="184">
        <v>49656.99</v>
      </c>
      <c r="S58" s="180" t="str">
        <f t="shared" si="28"/>
        <v>O7</v>
      </c>
      <c r="T58" s="181">
        <v>18</v>
      </c>
      <c r="U58" s="183">
        <v>51268.26</v>
      </c>
      <c r="V58" s="180" t="str">
        <f t="shared" si="29"/>
        <v>O8</v>
      </c>
      <c r="W58" s="181">
        <v>18</v>
      </c>
      <c r="X58" s="183">
        <v>56350.01</v>
      </c>
      <c r="Y58" s="180" t="str">
        <f t="shared" si="30"/>
        <v>O4bis-ir</v>
      </c>
      <c r="Z58" s="181">
        <v>18</v>
      </c>
      <c r="AA58" s="184">
        <v>47718.67</v>
      </c>
      <c r="AB58" s="180" t="str">
        <f t="shared" si="31"/>
        <v>O2ir</v>
      </c>
      <c r="AC58" s="181">
        <v>18</v>
      </c>
      <c r="AD58" s="184">
        <v>37176.160000000003</v>
      </c>
      <c r="AE58" s="180" t="str">
        <f t="shared" si="32"/>
        <v>O3ir</v>
      </c>
      <c r="AF58" s="181">
        <v>18</v>
      </c>
      <c r="AG58" s="184">
        <v>41535.120000000003</v>
      </c>
      <c r="AH58" s="180" t="str">
        <f t="shared" si="33"/>
        <v>O4ir</v>
      </c>
      <c r="AI58" s="181">
        <v>18</v>
      </c>
      <c r="AJ58" s="184">
        <v>43461.760000000002</v>
      </c>
      <c r="AK58" s="180" t="str">
        <f t="shared" si="34"/>
        <v>O5ir</v>
      </c>
      <c r="AL58" s="181">
        <v>18</v>
      </c>
      <c r="AM58" s="184">
        <v>49531.67</v>
      </c>
      <c r="AN58" s="180" t="str">
        <f t="shared" si="35"/>
        <v>O6ir</v>
      </c>
      <c r="AO58" s="181">
        <v>18</v>
      </c>
      <c r="AP58" s="184">
        <v>50191.14</v>
      </c>
      <c r="AQ58" s="180" t="str">
        <f t="shared" si="36"/>
        <v>O4bis</v>
      </c>
      <c r="AR58" s="181">
        <v>18</v>
      </c>
      <c r="AS58" s="184">
        <v>45017.54</v>
      </c>
      <c r="AT58" s="180" t="str">
        <f t="shared" si="37"/>
        <v>O8bis</v>
      </c>
      <c r="AU58" s="181">
        <v>18</v>
      </c>
      <c r="AV58" s="184">
        <v>63262.5</v>
      </c>
      <c r="AW58" s="180" t="str">
        <f t="shared" si="38"/>
        <v>BASP1</v>
      </c>
      <c r="AX58" s="181">
        <v>18</v>
      </c>
      <c r="AY58" s="184">
        <v>19640.669999999998</v>
      </c>
      <c r="AZ58" s="180" t="str">
        <f t="shared" si="39"/>
        <v>BASP2</v>
      </c>
      <c r="BA58" s="181">
        <v>18</v>
      </c>
      <c r="BB58" s="184">
        <v>20825.04</v>
      </c>
      <c r="BC58" s="180" t="str">
        <f t="shared" si="40"/>
        <v>BASP3</v>
      </c>
      <c r="BD58" s="181">
        <v>18</v>
      </c>
      <c r="BE58" s="184">
        <v>22356.36</v>
      </c>
      <c r="BF58" s="180" t="str">
        <f t="shared" si="41"/>
        <v>BASP4</v>
      </c>
      <c r="BG58" s="181">
        <v>18</v>
      </c>
      <c r="BH58" s="184">
        <v>23856.36</v>
      </c>
    </row>
    <row r="59" spans="1:60" x14ac:dyDescent="0.2">
      <c r="A59" s="180" t="str">
        <f t="shared" si="22"/>
        <v>O1</v>
      </c>
      <c r="B59" s="181">
        <v>19</v>
      </c>
      <c r="C59" s="184">
        <v>28695.13</v>
      </c>
      <c r="D59" s="180" t="str">
        <f t="shared" si="23"/>
        <v>O2</v>
      </c>
      <c r="E59" s="181">
        <v>19</v>
      </c>
      <c r="F59" s="183">
        <v>33965.33</v>
      </c>
      <c r="G59" s="180" t="str">
        <f t="shared" si="24"/>
        <v>O3</v>
      </c>
      <c r="H59" s="181">
        <v>19</v>
      </c>
      <c r="I59" s="184">
        <v>37931.550000000003</v>
      </c>
      <c r="J59" s="180" t="str">
        <f t="shared" si="25"/>
        <v>O4</v>
      </c>
      <c r="K59" s="181">
        <v>19</v>
      </c>
      <c r="L59" s="184">
        <v>41873.07</v>
      </c>
      <c r="M59" s="180" t="str">
        <f t="shared" si="26"/>
        <v>O5</v>
      </c>
      <c r="N59" s="181">
        <v>19</v>
      </c>
      <c r="O59" s="184">
        <v>47413.5</v>
      </c>
      <c r="P59" s="180" t="str">
        <f t="shared" si="27"/>
        <v>O6</v>
      </c>
      <c r="Q59" s="181">
        <v>19</v>
      </c>
      <c r="R59" s="184">
        <v>50028.84</v>
      </c>
      <c r="S59" s="180" t="str">
        <f t="shared" si="28"/>
        <v>O7</v>
      </c>
      <c r="T59" s="181">
        <v>19</v>
      </c>
      <c r="U59" s="183">
        <v>51268.26</v>
      </c>
      <c r="V59" s="180" t="str">
        <f t="shared" si="29"/>
        <v>O8</v>
      </c>
      <c r="W59" s="181">
        <v>19</v>
      </c>
      <c r="X59" s="183">
        <v>56350.01</v>
      </c>
      <c r="Y59" s="180" t="str">
        <f t="shared" si="30"/>
        <v>O4bis-ir</v>
      </c>
      <c r="Z59" s="181">
        <v>19</v>
      </c>
      <c r="AA59" s="184">
        <v>48191.66</v>
      </c>
      <c r="AB59" s="180" t="str">
        <f t="shared" si="31"/>
        <v>O2ir</v>
      </c>
      <c r="AC59" s="181">
        <v>19</v>
      </c>
      <c r="AD59" s="184">
        <v>37537.1</v>
      </c>
      <c r="AE59" s="180" t="str">
        <f t="shared" si="32"/>
        <v>O3ir</v>
      </c>
      <c r="AF59" s="181">
        <v>19</v>
      </c>
      <c r="AG59" s="184">
        <v>41979.35</v>
      </c>
      <c r="AH59" s="180" t="str">
        <f t="shared" si="33"/>
        <v>O4ir</v>
      </c>
      <c r="AI59" s="181">
        <v>19</v>
      </c>
      <c r="AJ59" s="184">
        <v>43908.47</v>
      </c>
      <c r="AK59" s="180" t="str">
        <f t="shared" si="34"/>
        <v>O5ir</v>
      </c>
      <c r="AL59" s="181">
        <v>19</v>
      </c>
      <c r="AM59" s="184">
        <v>49781.3</v>
      </c>
      <c r="AN59" s="180" t="str">
        <f t="shared" si="35"/>
        <v>O6ir</v>
      </c>
      <c r="AO59" s="181">
        <v>19</v>
      </c>
      <c r="AP59" s="184">
        <v>50570.42</v>
      </c>
      <c r="AQ59" s="180" t="str">
        <f t="shared" si="36"/>
        <v>O4bis</v>
      </c>
      <c r="AR59" s="181">
        <v>19</v>
      </c>
      <c r="AS59" s="184">
        <v>45463.75</v>
      </c>
      <c r="AT59" s="180" t="str">
        <f t="shared" si="37"/>
        <v>O8bis</v>
      </c>
      <c r="AU59" s="181">
        <v>19</v>
      </c>
      <c r="AV59" s="184">
        <v>63262.5</v>
      </c>
      <c r="AW59" s="180" t="str">
        <f t="shared" si="38"/>
        <v>BASP1</v>
      </c>
      <c r="AX59" s="181">
        <v>19</v>
      </c>
      <c r="AY59" s="184">
        <v>20264.28</v>
      </c>
      <c r="AZ59" s="180" t="str">
        <f t="shared" si="39"/>
        <v>BASP2</v>
      </c>
      <c r="BA59" s="181">
        <v>19</v>
      </c>
      <c r="BB59" s="184">
        <v>21360.17</v>
      </c>
      <c r="BC59" s="180" t="str">
        <f t="shared" si="40"/>
        <v>BASP3</v>
      </c>
      <c r="BD59" s="181">
        <v>19</v>
      </c>
      <c r="BE59" s="184">
        <v>22979.97</v>
      </c>
      <c r="BF59" s="180" t="str">
        <f t="shared" si="41"/>
        <v>BASP4</v>
      </c>
      <c r="BG59" s="181">
        <v>19</v>
      </c>
      <c r="BH59" s="184">
        <v>24479.97</v>
      </c>
    </row>
    <row r="60" spans="1:60" x14ac:dyDescent="0.2">
      <c r="A60" s="180" t="str">
        <f t="shared" si="22"/>
        <v>O1</v>
      </c>
      <c r="B60" s="181">
        <v>20</v>
      </c>
      <c r="C60" s="184">
        <v>28945.51</v>
      </c>
      <c r="D60" s="180" t="str">
        <f t="shared" si="23"/>
        <v>O2</v>
      </c>
      <c r="E60" s="181">
        <v>20</v>
      </c>
      <c r="F60" s="183">
        <v>34287.599999999999</v>
      </c>
      <c r="G60" s="180" t="str">
        <f t="shared" si="24"/>
        <v>O3</v>
      </c>
      <c r="H60" s="181">
        <v>20</v>
      </c>
      <c r="I60" s="184">
        <v>38328.18</v>
      </c>
      <c r="J60" s="180" t="str">
        <f t="shared" si="25"/>
        <v>O4</v>
      </c>
      <c r="K60" s="181">
        <v>20</v>
      </c>
      <c r="L60" s="184">
        <v>42294.49</v>
      </c>
      <c r="M60" s="180" t="str">
        <f t="shared" si="26"/>
        <v>O5</v>
      </c>
      <c r="N60" s="181">
        <v>20</v>
      </c>
      <c r="O60" s="184">
        <v>47649</v>
      </c>
      <c r="P60" s="180" t="str">
        <f t="shared" si="27"/>
        <v>O6</v>
      </c>
      <c r="Q60" s="181">
        <v>20</v>
      </c>
      <c r="R60" s="184">
        <v>50400.69</v>
      </c>
      <c r="S60" s="180" t="str">
        <f t="shared" si="28"/>
        <v>O7</v>
      </c>
      <c r="T60" s="181">
        <v>20</v>
      </c>
      <c r="U60" s="183">
        <v>52755.63</v>
      </c>
      <c r="V60" s="180" t="str">
        <f t="shared" si="29"/>
        <v>O8</v>
      </c>
      <c r="W60" s="181">
        <v>20</v>
      </c>
      <c r="X60" s="183">
        <v>57961.32</v>
      </c>
      <c r="Y60" s="180" t="str">
        <f t="shared" si="30"/>
        <v>O4bis-ir</v>
      </c>
      <c r="Z60" s="181">
        <v>20</v>
      </c>
      <c r="AA60" s="184">
        <v>48664.65</v>
      </c>
      <c r="AB60" s="180" t="str">
        <f t="shared" si="31"/>
        <v>O2ir</v>
      </c>
      <c r="AC60" s="181">
        <v>20</v>
      </c>
      <c r="AD60" s="184">
        <v>37898.04</v>
      </c>
      <c r="AE60" s="180" t="str">
        <f t="shared" si="32"/>
        <v>O3ir</v>
      </c>
      <c r="AF60" s="181">
        <v>20</v>
      </c>
      <c r="AG60" s="184">
        <v>42423.58</v>
      </c>
      <c r="AH60" s="180" t="str">
        <f t="shared" si="33"/>
        <v>O4ir</v>
      </c>
      <c r="AI60" s="181">
        <v>20</v>
      </c>
      <c r="AJ60" s="184">
        <v>44355.18</v>
      </c>
      <c r="AK60" s="180" t="str">
        <f t="shared" si="34"/>
        <v>O5ir</v>
      </c>
      <c r="AL60" s="181">
        <v>20</v>
      </c>
      <c r="AM60" s="184">
        <v>50030.93</v>
      </c>
      <c r="AN60" s="180" t="str">
        <f t="shared" si="35"/>
        <v>O6ir</v>
      </c>
      <c r="AO60" s="181">
        <v>20</v>
      </c>
      <c r="AP60" s="184">
        <v>50949.7</v>
      </c>
      <c r="AQ60" s="180" t="str">
        <f t="shared" si="36"/>
        <v>O4bis</v>
      </c>
      <c r="AR60" s="181">
        <v>20</v>
      </c>
      <c r="AS60" s="184">
        <v>45909.96</v>
      </c>
      <c r="AT60" s="180" t="str">
        <f t="shared" si="37"/>
        <v>O8bis</v>
      </c>
      <c r="AU60" s="181">
        <v>20</v>
      </c>
      <c r="AV60" s="184">
        <v>64700.29</v>
      </c>
      <c r="AW60" s="180" t="str">
        <f t="shared" si="38"/>
        <v>BASP1</v>
      </c>
      <c r="AX60" s="181">
        <v>20</v>
      </c>
      <c r="AY60" s="184">
        <v>20264.28</v>
      </c>
      <c r="AZ60" s="180" t="str">
        <f t="shared" si="39"/>
        <v>BASP2</v>
      </c>
      <c r="BA60" s="181">
        <v>20</v>
      </c>
      <c r="BB60" s="184">
        <v>21360.17</v>
      </c>
      <c r="BC60" s="180" t="str">
        <f t="shared" si="40"/>
        <v>BASP3</v>
      </c>
      <c r="BD60" s="181">
        <v>20</v>
      </c>
      <c r="BE60" s="184">
        <v>22979.97</v>
      </c>
      <c r="BF60" s="180" t="str">
        <f t="shared" si="41"/>
        <v>BASP4</v>
      </c>
      <c r="BG60" s="181">
        <v>20</v>
      </c>
      <c r="BH60" s="184">
        <v>24479.97</v>
      </c>
    </row>
    <row r="61" spans="1:60" x14ac:dyDescent="0.2">
      <c r="A61" s="180" t="str">
        <f t="shared" si="22"/>
        <v>O1</v>
      </c>
      <c r="B61" s="181">
        <v>21</v>
      </c>
      <c r="C61" s="184">
        <v>29195.89</v>
      </c>
      <c r="D61" s="180" t="str">
        <f t="shared" si="23"/>
        <v>O2</v>
      </c>
      <c r="E61" s="181">
        <v>21</v>
      </c>
      <c r="F61" s="183">
        <v>34609.870000000003</v>
      </c>
      <c r="G61" s="180" t="str">
        <f t="shared" si="24"/>
        <v>O3</v>
      </c>
      <c r="H61" s="181">
        <v>21</v>
      </c>
      <c r="I61" s="184">
        <v>38724.81</v>
      </c>
      <c r="J61" s="180" t="str">
        <f t="shared" si="25"/>
        <v>O4</v>
      </c>
      <c r="K61" s="181">
        <v>21</v>
      </c>
      <c r="L61" s="184">
        <v>42715.91</v>
      </c>
      <c r="M61" s="180" t="str">
        <f t="shared" si="26"/>
        <v>O5</v>
      </c>
      <c r="N61" s="181">
        <v>21</v>
      </c>
      <c r="O61" s="184">
        <v>47884.5</v>
      </c>
      <c r="P61" s="180" t="str">
        <f t="shared" si="27"/>
        <v>O6</v>
      </c>
      <c r="Q61" s="181">
        <v>21</v>
      </c>
      <c r="R61" s="184">
        <v>50772.54</v>
      </c>
      <c r="S61" s="180" t="str">
        <f t="shared" si="28"/>
        <v>O7</v>
      </c>
      <c r="T61" s="181">
        <v>21</v>
      </c>
      <c r="U61" s="183">
        <v>52755.63</v>
      </c>
      <c r="V61" s="180" t="str">
        <f t="shared" si="29"/>
        <v>O8</v>
      </c>
      <c r="W61" s="181">
        <v>21</v>
      </c>
      <c r="X61" s="183">
        <v>57961.32</v>
      </c>
      <c r="Y61" s="180" t="str">
        <f t="shared" si="30"/>
        <v>O4bis-ir</v>
      </c>
      <c r="Z61" s="181">
        <v>21</v>
      </c>
      <c r="AA61" s="184">
        <v>49137.64</v>
      </c>
      <c r="AB61" s="180" t="str">
        <f t="shared" si="31"/>
        <v>O2ir</v>
      </c>
      <c r="AC61" s="181">
        <v>21</v>
      </c>
      <c r="AD61" s="184">
        <v>38258.980000000003</v>
      </c>
      <c r="AE61" s="180" t="str">
        <f t="shared" si="32"/>
        <v>O3ir</v>
      </c>
      <c r="AF61" s="181">
        <v>21</v>
      </c>
      <c r="AG61" s="184">
        <v>42867.81</v>
      </c>
      <c r="AH61" s="180" t="str">
        <f t="shared" si="33"/>
        <v>O4ir</v>
      </c>
      <c r="AI61" s="181">
        <v>21</v>
      </c>
      <c r="AJ61" s="184">
        <v>44801.89</v>
      </c>
      <c r="AK61" s="180" t="str">
        <f t="shared" si="34"/>
        <v>O5ir</v>
      </c>
      <c r="AL61" s="181">
        <v>21</v>
      </c>
      <c r="AM61" s="184">
        <v>50280.56</v>
      </c>
      <c r="AN61" s="180" t="str">
        <f t="shared" si="35"/>
        <v>O6ir</v>
      </c>
      <c r="AO61" s="181">
        <v>21</v>
      </c>
      <c r="AP61" s="184">
        <v>51328.98</v>
      </c>
      <c r="AQ61" s="180" t="str">
        <f t="shared" si="36"/>
        <v>O4bis</v>
      </c>
      <c r="AR61" s="181">
        <v>21</v>
      </c>
      <c r="AS61" s="184">
        <v>46356.17</v>
      </c>
      <c r="AT61" s="180" t="str">
        <f t="shared" si="37"/>
        <v>O8bis</v>
      </c>
      <c r="AU61" s="181">
        <v>21</v>
      </c>
      <c r="AV61" s="184">
        <v>64700.29</v>
      </c>
      <c r="AW61" s="180" t="str">
        <f t="shared" si="38"/>
        <v>BASP1</v>
      </c>
      <c r="AX61" s="181">
        <v>21</v>
      </c>
      <c r="AY61" s="184">
        <v>20887.89</v>
      </c>
      <c r="AZ61" s="180" t="str">
        <f t="shared" si="39"/>
        <v>BASP2</v>
      </c>
      <c r="BA61" s="181">
        <v>21</v>
      </c>
      <c r="BB61" s="184">
        <v>21895.3</v>
      </c>
      <c r="BC61" s="180" t="str">
        <f t="shared" si="40"/>
        <v>BASP3</v>
      </c>
      <c r="BD61" s="181">
        <v>21</v>
      </c>
      <c r="BE61" s="184">
        <v>23603.58</v>
      </c>
      <c r="BF61" s="180" t="str">
        <f t="shared" si="41"/>
        <v>BASP4</v>
      </c>
      <c r="BG61" s="181">
        <v>21</v>
      </c>
      <c r="BH61" s="184">
        <v>25103.58</v>
      </c>
    </row>
    <row r="62" spans="1:60" x14ac:dyDescent="0.2">
      <c r="A62" s="180" t="str">
        <f t="shared" si="22"/>
        <v>O1</v>
      </c>
      <c r="B62" s="181">
        <v>22</v>
      </c>
      <c r="C62" s="184">
        <v>29446.27</v>
      </c>
      <c r="D62" s="180" t="str">
        <f t="shared" si="23"/>
        <v>O2</v>
      </c>
      <c r="E62" s="181">
        <v>22</v>
      </c>
      <c r="F62" s="183">
        <v>34932.14</v>
      </c>
      <c r="G62" s="180" t="str">
        <f t="shared" si="24"/>
        <v>O3</v>
      </c>
      <c r="H62" s="181">
        <v>22</v>
      </c>
      <c r="I62" s="184">
        <v>39121.440000000002</v>
      </c>
      <c r="J62" s="180" t="str">
        <f t="shared" si="25"/>
        <v>O4</v>
      </c>
      <c r="K62" s="181">
        <v>22</v>
      </c>
      <c r="L62" s="184">
        <v>43137.33</v>
      </c>
      <c r="M62" s="180" t="str">
        <f t="shared" si="26"/>
        <v>O5</v>
      </c>
      <c r="N62" s="181">
        <v>22</v>
      </c>
      <c r="O62" s="184">
        <v>48120</v>
      </c>
      <c r="P62" s="180" t="str">
        <f t="shared" si="27"/>
        <v>O6</v>
      </c>
      <c r="Q62" s="181">
        <v>22</v>
      </c>
      <c r="R62" s="184">
        <v>51144.39</v>
      </c>
      <c r="S62" s="180" t="str">
        <f t="shared" si="28"/>
        <v>O7</v>
      </c>
      <c r="T62" s="181">
        <v>22</v>
      </c>
      <c r="U62" s="183">
        <v>54243</v>
      </c>
      <c r="V62" s="180" t="str">
        <f t="shared" si="29"/>
        <v>O8</v>
      </c>
      <c r="W62" s="181">
        <v>22</v>
      </c>
      <c r="X62" s="183">
        <v>59572.63</v>
      </c>
      <c r="Y62" s="180" t="str">
        <f t="shared" si="30"/>
        <v>O4bis-ir</v>
      </c>
      <c r="Z62" s="181">
        <v>22</v>
      </c>
      <c r="AA62" s="184">
        <v>49610.63</v>
      </c>
      <c r="AB62" s="180" t="str">
        <f t="shared" si="31"/>
        <v>O2ir</v>
      </c>
      <c r="AC62" s="181">
        <v>22</v>
      </c>
      <c r="AD62" s="184">
        <v>38619.919999999998</v>
      </c>
      <c r="AE62" s="180" t="str">
        <f t="shared" si="32"/>
        <v>O3ir</v>
      </c>
      <c r="AF62" s="181">
        <v>22</v>
      </c>
      <c r="AG62" s="184">
        <v>43312.04</v>
      </c>
      <c r="AH62" s="180" t="str">
        <f t="shared" si="33"/>
        <v>O4ir</v>
      </c>
      <c r="AI62" s="181">
        <v>22</v>
      </c>
      <c r="AJ62" s="184">
        <v>45248.6</v>
      </c>
      <c r="AK62" s="180" t="str">
        <f t="shared" si="34"/>
        <v>O5ir</v>
      </c>
      <c r="AL62" s="181">
        <v>22</v>
      </c>
      <c r="AM62" s="184">
        <v>50530.19</v>
      </c>
      <c r="AN62" s="180" t="str">
        <f t="shared" si="35"/>
        <v>O6ir</v>
      </c>
      <c r="AO62" s="181">
        <v>22</v>
      </c>
      <c r="AP62" s="184">
        <v>51708.26</v>
      </c>
      <c r="AQ62" s="180" t="str">
        <f t="shared" si="36"/>
        <v>O4bis</v>
      </c>
      <c r="AR62" s="181">
        <v>22</v>
      </c>
      <c r="AS62" s="184">
        <v>46802.38</v>
      </c>
      <c r="AT62" s="180" t="str">
        <f t="shared" si="37"/>
        <v>O8bis</v>
      </c>
      <c r="AU62" s="181">
        <v>22</v>
      </c>
      <c r="AV62" s="184">
        <v>66138.080000000002</v>
      </c>
      <c r="AW62" s="180" t="str">
        <f t="shared" si="38"/>
        <v>BASP1</v>
      </c>
      <c r="AX62" s="181">
        <v>22</v>
      </c>
      <c r="AY62" s="184">
        <v>20887.89</v>
      </c>
      <c r="AZ62" s="180" t="str">
        <f t="shared" si="39"/>
        <v>BASP2</v>
      </c>
      <c r="BA62" s="181">
        <v>22</v>
      </c>
      <c r="BB62" s="184">
        <v>21895.3</v>
      </c>
      <c r="BC62" s="180" t="str">
        <f t="shared" si="40"/>
        <v>BASP3</v>
      </c>
      <c r="BD62" s="181">
        <v>22</v>
      </c>
      <c r="BE62" s="184">
        <v>23603.58</v>
      </c>
      <c r="BF62" s="180" t="str">
        <f t="shared" si="41"/>
        <v>BASP4</v>
      </c>
      <c r="BG62" s="181">
        <v>22</v>
      </c>
      <c r="BH62" s="184">
        <v>25103.58</v>
      </c>
    </row>
    <row r="63" spans="1:60" x14ac:dyDescent="0.2">
      <c r="A63" s="180" t="str">
        <f t="shared" si="22"/>
        <v>O1</v>
      </c>
      <c r="B63" s="181">
        <v>23</v>
      </c>
      <c r="C63" s="184">
        <v>29696.65</v>
      </c>
      <c r="D63" s="180" t="str">
        <f t="shared" si="23"/>
        <v>O2</v>
      </c>
      <c r="E63" s="181">
        <v>23</v>
      </c>
      <c r="F63" s="183">
        <v>35254.410000000003</v>
      </c>
      <c r="G63" s="180" t="str">
        <f t="shared" si="24"/>
        <v>O3</v>
      </c>
      <c r="H63" s="181">
        <v>23</v>
      </c>
      <c r="I63" s="184">
        <v>39518.07</v>
      </c>
      <c r="J63" s="180" t="str">
        <f t="shared" si="25"/>
        <v>O4</v>
      </c>
      <c r="K63" s="181">
        <v>23</v>
      </c>
      <c r="L63" s="184">
        <v>43558.75</v>
      </c>
      <c r="M63" s="180" t="str">
        <f t="shared" si="26"/>
        <v>O5</v>
      </c>
      <c r="N63" s="181">
        <v>23</v>
      </c>
      <c r="O63" s="184">
        <v>48355.5</v>
      </c>
      <c r="P63" s="180" t="str">
        <f t="shared" si="27"/>
        <v>O6</v>
      </c>
      <c r="Q63" s="181">
        <v>23</v>
      </c>
      <c r="R63" s="184">
        <v>51516.24</v>
      </c>
      <c r="S63" s="180" t="str">
        <f t="shared" si="28"/>
        <v>O7</v>
      </c>
      <c r="T63" s="181">
        <v>23</v>
      </c>
      <c r="U63" s="183">
        <v>54243</v>
      </c>
      <c r="V63" s="180" t="str">
        <f t="shared" si="29"/>
        <v>O8</v>
      </c>
      <c r="W63" s="181">
        <v>23</v>
      </c>
      <c r="X63" s="183">
        <v>59572.63</v>
      </c>
      <c r="Y63" s="180" t="str">
        <f t="shared" si="30"/>
        <v>O4bis-ir</v>
      </c>
      <c r="Z63" s="181">
        <v>23</v>
      </c>
      <c r="AA63" s="184">
        <v>50083.62</v>
      </c>
      <c r="AB63" s="180" t="str">
        <f t="shared" si="31"/>
        <v>O2ir</v>
      </c>
      <c r="AC63" s="181">
        <v>23</v>
      </c>
      <c r="AD63" s="184">
        <v>38980.86</v>
      </c>
      <c r="AE63" s="180" t="str">
        <f t="shared" si="32"/>
        <v>O3ir</v>
      </c>
      <c r="AF63" s="181">
        <v>23</v>
      </c>
      <c r="AG63" s="184">
        <v>43756.27</v>
      </c>
      <c r="AH63" s="180" t="str">
        <f t="shared" si="33"/>
        <v>O4ir</v>
      </c>
      <c r="AI63" s="181">
        <v>23</v>
      </c>
      <c r="AJ63" s="184">
        <v>45695.31</v>
      </c>
      <c r="AK63" s="180" t="str">
        <f t="shared" si="34"/>
        <v>O5ir</v>
      </c>
      <c r="AL63" s="181">
        <v>23</v>
      </c>
      <c r="AM63" s="184">
        <v>50779.82</v>
      </c>
      <c r="AN63" s="180" t="str">
        <f t="shared" si="35"/>
        <v>O6ir</v>
      </c>
      <c r="AO63" s="181">
        <v>23</v>
      </c>
      <c r="AP63" s="184">
        <v>52087.54</v>
      </c>
      <c r="AQ63" s="180" t="str">
        <f t="shared" si="36"/>
        <v>O4bis</v>
      </c>
      <c r="AR63" s="181">
        <v>23</v>
      </c>
      <c r="AS63" s="184">
        <v>47248.59</v>
      </c>
      <c r="AT63" s="180" t="str">
        <f t="shared" si="37"/>
        <v>O8bis</v>
      </c>
      <c r="AU63" s="181">
        <v>23</v>
      </c>
      <c r="AV63" s="184">
        <v>66138.080000000002</v>
      </c>
      <c r="AW63" s="180" t="str">
        <f t="shared" si="38"/>
        <v>BASP1</v>
      </c>
      <c r="AX63" s="181">
        <v>23</v>
      </c>
      <c r="AY63" s="184">
        <v>21511.5</v>
      </c>
      <c r="AZ63" s="180" t="str">
        <f t="shared" si="39"/>
        <v>BASP2</v>
      </c>
      <c r="BA63" s="181">
        <v>23</v>
      </c>
      <c r="BB63" s="184">
        <v>22430.43</v>
      </c>
      <c r="BC63" s="180" t="str">
        <f t="shared" si="40"/>
        <v>BASP3</v>
      </c>
      <c r="BD63" s="181">
        <v>23</v>
      </c>
      <c r="BE63" s="184">
        <v>24227.19</v>
      </c>
      <c r="BF63" s="180" t="str">
        <f t="shared" si="41"/>
        <v>BASP4</v>
      </c>
      <c r="BG63" s="181">
        <v>23</v>
      </c>
      <c r="BH63" s="184">
        <v>25727.19</v>
      </c>
    </row>
    <row r="64" spans="1:60" x14ac:dyDescent="0.2">
      <c r="A64" s="180" t="str">
        <f t="shared" si="22"/>
        <v>O1</v>
      </c>
      <c r="B64" s="181">
        <v>24</v>
      </c>
      <c r="C64" s="184">
        <v>29947.03</v>
      </c>
      <c r="D64" s="180" t="str">
        <f t="shared" si="23"/>
        <v>O2</v>
      </c>
      <c r="E64" s="181">
        <v>24</v>
      </c>
      <c r="F64" s="183">
        <v>35576.68</v>
      </c>
      <c r="G64" s="180" t="str">
        <f t="shared" si="24"/>
        <v>O3</v>
      </c>
      <c r="H64" s="181">
        <v>24</v>
      </c>
      <c r="I64" s="184">
        <v>39815.550000000003</v>
      </c>
      <c r="J64" s="180" t="str">
        <f t="shared" si="25"/>
        <v>O4</v>
      </c>
      <c r="K64" s="181">
        <v>24</v>
      </c>
      <c r="L64" s="184">
        <v>43980.17</v>
      </c>
      <c r="M64" s="180" t="str">
        <f t="shared" si="26"/>
        <v>O5</v>
      </c>
      <c r="N64" s="181">
        <v>24</v>
      </c>
      <c r="O64" s="184">
        <v>48591</v>
      </c>
      <c r="P64" s="180" t="str">
        <f t="shared" si="27"/>
        <v>O6</v>
      </c>
      <c r="Q64" s="181">
        <v>24</v>
      </c>
      <c r="R64" s="184">
        <v>51888.09</v>
      </c>
      <c r="S64" s="180" t="str">
        <f t="shared" si="28"/>
        <v>O7</v>
      </c>
      <c r="T64" s="181">
        <v>24</v>
      </c>
      <c r="U64" s="183">
        <v>55730.37</v>
      </c>
      <c r="V64" s="180" t="str">
        <f t="shared" si="29"/>
        <v>O8</v>
      </c>
      <c r="W64" s="181">
        <v>24</v>
      </c>
      <c r="X64" s="183">
        <v>61183.94</v>
      </c>
      <c r="Y64" s="180" t="str">
        <f t="shared" si="30"/>
        <v>O4bis-ir</v>
      </c>
      <c r="Z64" s="181">
        <v>24</v>
      </c>
      <c r="AA64" s="184">
        <v>50556.61</v>
      </c>
      <c r="AB64" s="180" t="str">
        <f t="shared" si="31"/>
        <v>O2ir</v>
      </c>
      <c r="AC64" s="181">
        <v>24</v>
      </c>
      <c r="AD64" s="184">
        <v>39341.800000000003</v>
      </c>
      <c r="AE64" s="180" t="str">
        <f t="shared" si="32"/>
        <v>O3ir</v>
      </c>
      <c r="AF64" s="181">
        <v>24</v>
      </c>
      <c r="AG64" s="184">
        <v>44089.440000000002</v>
      </c>
      <c r="AH64" s="180" t="str">
        <f t="shared" si="33"/>
        <v>O4ir</v>
      </c>
      <c r="AI64" s="181">
        <v>24</v>
      </c>
      <c r="AJ64" s="184">
        <v>46142.02</v>
      </c>
      <c r="AK64" s="180" t="str">
        <f t="shared" si="34"/>
        <v>O5ir</v>
      </c>
      <c r="AL64" s="181">
        <v>24</v>
      </c>
      <c r="AM64" s="184">
        <v>51029.45</v>
      </c>
      <c r="AN64" s="180" t="str">
        <f t="shared" si="35"/>
        <v>O6ir</v>
      </c>
      <c r="AO64" s="181">
        <v>24</v>
      </c>
      <c r="AP64" s="184">
        <v>52466.82</v>
      </c>
      <c r="AQ64" s="180" t="str">
        <f t="shared" si="36"/>
        <v>O4bis</v>
      </c>
      <c r="AR64" s="181">
        <v>24</v>
      </c>
      <c r="AS64" s="184">
        <v>47694.8</v>
      </c>
      <c r="AT64" s="180" t="str">
        <f t="shared" si="37"/>
        <v>O8bis</v>
      </c>
      <c r="AU64" s="181">
        <v>24</v>
      </c>
      <c r="AV64" s="184">
        <v>67575.87</v>
      </c>
      <c r="AW64" s="180" t="str">
        <f t="shared" si="38"/>
        <v>BASP1</v>
      </c>
      <c r="AX64" s="181">
        <v>24</v>
      </c>
      <c r="AY64" s="184">
        <v>21511.5</v>
      </c>
      <c r="AZ64" s="180" t="str">
        <f t="shared" si="39"/>
        <v>BASP2</v>
      </c>
      <c r="BA64" s="181">
        <v>24</v>
      </c>
      <c r="BB64" s="184">
        <v>22430.43</v>
      </c>
      <c r="BC64" s="180" t="str">
        <f t="shared" si="40"/>
        <v>BASP3</v>
      </c>
      <c r="BD64" s="181">
        <v>24</v>
      </c>
      <c r="BE64" s="184">
        <v>24227.19</v>
      </c>
      <c r="BF64" s="180" t="str">
        <f t="shared" si="41"/>
        <v>BASP4</v>
      </c>
      <c r="BG64" s="181">
        <v>24</v>
      </c>
      <c r="BH64" s="184">
        <v>25727.19</v>
      </c>
    </row>
    <row r="65" spans="1:60" x14ac:dyDescent="0.2">
      <c r="A65" s="180" t="str">
        <f t="shared" si="22"/>
        <v>O1</v>
      </c>
      <c r="B65" s="181">
        <v>25</v>
      </c>
      <c r="C65" s="184">
        <v>30197.41</v>
      </c>
      <c r="D65" s="180" t="str">
        <f t="shared" si="23"/>
        <v>O2</v>
      </c>
      <c r="E65" s="181">
        <v>25</v>
      </c>
      <c r="F65" s="183">
        <v>35898.949999999997</v>
      </c>
      <c r="G65" s="180" t="str">
        <f t="shared" si="24"/>
        <v>O3</v>
      </c>
      <c r="H65" s="181">
        <v>25</v>
      </c>
      <c r="I65" s="184">
        <v>40113.03</v>
      </c>
      <c r="J65" s="180" t="str">
        <f t="shared" si="25"/>
        <v>O4</v>
      </c>
      <c r="K65" s="181">
        <v>25</v>
      </c>
      <c r="L65" s="184">
        <v>44401.59</v>
      </c>
      <c r="M65" s="180" t="str">
        <f t="shared" si="26"/>
        <v>O5</v>
      </c>
      <c r="N65" s="181">
        <v>25</v>
      </c>
      <c r="O65" s="184">
        <f>O64</f>
        <v>48591</v>
      </c>
      <c r="P65" s="180" t="str">
        <f t="shared" si="27"/>
        <v>O6</v>
      </c>
      <c r="Q65" s="181">
        <v>25</v>
      </c>
      <c r="R65" s="184">
        <f>R64</f>
        <v>51888.09</v>
      </c>
      <c r="S65" s="180" t="str">
        <f t="shared" si="28"/>
        <v>O7</v>
      </c>
      <c r="T65" s="181">
        <v>25</v>
      </c>
      <c r="U65" s="183">
        <v>55730.37</v>
      </c>
      <c r="V65" s="180" t="str">
        <f t="shared" si="29"/>
        <v>O8</v>
      </c>
      <c r="W65" s="181">
        <v>25</v>
      </c>
      <c r="X65" s="183">
        <v>61183.94</v>
      </c>
      <c r="Y65" s="180" t="str">
        <f t="shared" si="30"/>
        <v>O4bis-ir</v>
      </c>
      <c r="Z65" s="181">
        <v>25</v>
      </c>
      <c r="AA65" s="184">
        <v>51029.599999999999</v>
      </c>
      <c r="AB65" s="180" t="str">
        <f t="shared" si="31"/>
        <v>O2ir</v>
      </c>
      <c r="AC65" s="181">
        <v>25</v>
      </c>
      <c r="AD65" s="184">
        <v>39702.74</v>
      </c>
      <c r="AE65" s="180" t="str">
        <f t="shared" si="32"/>
        <v>O3ir</v>
      </c>
      <c r="AF65" s="181">
        <v>25</v>
      </c>
      <c r="AG65" s="184">
        <v>44422.61</v>
      </c>
      <c r="AH65" s="180" t="str">
        <f t="shared" si="33"/>
        <v>O4ir</v>
      </c>
      <c r="AI65" s="181">
        <v>25</v>
      </c>
      <c r="AJ65" s="184">
        <v>46588.73</v>
      </c>
      <c r="AK65" s="180" t="str">
        <f t="shared" si="34"/>
        <v>O5ir</v>
      </c>
      <c r="AL65" s="181">
        <v>25</v>
      </c>
      <c r="AM65" s="184">
        <f>AM64</f>
        <v>51029.45</v>
      </c>
      <c r="AN65" s="180" t="str">
        <f t="shared" si="35"/>
        <v>O6ir</v>
      </c>
      <c r="AO65" s="181">
        <v>25</v>
      </c>
      <c r="AP65" s="184">
        <f>AP64</f>
        <v>52466.82</v>
      </c>
      <c r="AQ65" s="180" t="str">
        <f t="shared" si="36"/>
        <v>O4bis</v>
      </c>
      <c r="AR65" s="181">
        <v>25</v>
      </c>
      <c r="AS65" s="184">
        <v>48141.01</v>
      </c>
      <c r="AT65" s="180" t="str">
        <f t="shared" si="37"/>
        <v>O8bis</v>
      </c>
      <c r="AU65" s="181">
        <v>25</v>
      </c>
      <c r="AV65" s="184">
        <f>AV64</f>
        <v>67575.87</v>
      </c>
      <c r="AW65" s="180" t="str">
        <f t="shared" si="38"/>
        <v>BASP1</v>
      </c>
      <c r="AX65" s="181">
        <v>25</v>
      </c>
      <c r="AY65" s="184">
        <v>22135.11</v>
      </c>
      <c r="AZ65" s="180" t="str">
        <f t="shared" si="39"/>
        <v>BASP2</v>
      </c>
      <c r="BA65" s="181">
        <v>25</v>
      </c>
      <c r="BB65" s="184">
        <v>22965.56</v>
      </c>
      <c r="BC65" s="180" t="str">
        <f t="shared" si="40"/>
        <v>BASP3</v>
      </c>
      <c r="BD65" s="181">
        <v>25</v>
      </c>
      <c r="BE65" s="184">
        <v>24850.799999999999</v>
      </c>
      <c r="BF65" s="180" t="str">
        <f t="shared" si="41"/>
        <v>BASP4</v>
      </c>
      <c r="BG65" s="181">
        <v>25</v>
      </c>
      <c r="BH65" s="184">
        <v>26350.799999999999</v>
      </c>
    </row>
    <row r="66" spans="1:60" x14ac:dyDescent="0.2">
      <c r="A66" s="180" t="str">
        <f t="shared" si="22"/>
        <v>O1</v>
      </c>
      <c r="B66" s="181"/>
      <c r="C66" s="184">
        <f>C65</f>
        <v>30197.41</v>
      </c>
      <c r="D66" s="180" t="str">
        <f t="shared" si="23"/>
        <v>O2</v>
      </c>
      <c r="E66" s="183"/>
      <c r="F66" s="183">
        <f>F65</f>
        <v>35898.949999999997</v>
      </c>
      <c r="G66" s="180" t="str">
        <f t="shared" si="24"/>
        <v>O3</v>
      </c>
      <c r="H66" s="178"/>
      <c r="I66" s="184">
        <f>I65</f>
        <v>40113.03</v>
      </c>
      <c r="J66" s="180" t="str">
        <f t="shared" si="25"/>
        <v>O4</v>
      </c>
      <c r="K66" s="178"/>
      <c r="L66" s="184">
        <f>L65</f>
        <v>44401.59</v>
      </c>
      <c r="M66" s="180" t="str">
        <f t="shared" si="26"/>
        <v>O5</v>
      </c>
      <c r="N66" s="178"/>
      <c r="O66" s="184">
        <f>O65</f>
        <v>48591</v>
      </c>
      <c r="P66" s="180" t="str">
        <f t="shared" si="27"/>
        <v>O6</v>
      </c>
      <c r="Q66" s="178"/>
      <c r="R66" s="184">
        <f>R65</f>
        <v>51888.09</v>
      </c>
      <c r="S66" s="180" t="str">
        <f t="shared" si="28"/>
        <v>O7</v>
      </c>
      <c r="T66" s="181">
        <v>26</v>
      </c>
      <c r="U66" s="183">
        <v>57217.74</v>
      </c>
      <c r="V66" s="180" t="str">
        <f t="shared" si="29"/>
        <v>O8</v>
      </c>
      <c r="W66" s="181">
        <v>26</v>
      </c>
      <c r="X66" s="183">
        <v>62795.25</v>
      </c>
      <c r="Y66" s="180" t="str">
        <f t="shared" si="30"/>
        <v>O4bis-ir</v>
      </c>
      <c r="Z66" s="181"/>
      <c r="AA66" s="184">
        <f>AA65</f>
        <v>51029.599999999999</v>
      </c>
      <c r="AB66" s="180" t="str">
        <f t="shared" si="31"/>
        <v>O2ir</v>
      </c>
      <c r="AC66" s="181"/>
      <c r="AD66" s="184">
        <f>AD65</f>
        <v>39702.74</v>
      </c>
      <c r="AE66" s="180" t="str">
        <f t="shared" si="32"/>
        <v>O3ir</v>
      </c>
      <c r="AF66" s="181"/>
      <c r="AG66" s="184">
        <f>AG65</f>
        <v>44422.61</v>
      </c>
      <c r="AH66" s="180" t="str">
        <f t="shared" si="33"/>
        <v>O4ir</v>
      </c>
      <c r="AI66" s="181"/>
      <c r="AJ66" s="184">
        <f>AJ65</f>
        <v>46588.73</v>
      </c>
      <c r="AK66" s="180" t="str">
        <f t="shared" si="34"/>
        <v>O5ir</v>
      </c>
      <c r="AL66" s="181"/>
      <c r="AM66" s="184">
        <f>AM65</f>
        <v>51029.45</v>
      </c>
      <c r="AN66" s="180" t="str">
        <f t="shared" si="35"/>
        <v>O6ir</v>
      </c>
      <c r="AO66" s="181"/>
      <c r="AP66" s="184">
        <f>AP65</f>
        <v>52466.82</v>
      </c>
      <c r="AQ66" s="180" t="str">
        <f t="shared" si="36"/>
        <v>O4bis</v>
      </c>
      <c r="AR66" s="181"/>
      <c r="AS66" s="184">
        <f>AS65</f>
        <v>48141.01</v>
      </c>
      <c r="AT66" s="180" t="str">
        <f t="shared" si="37"/>
        <v>O8bis</v>
      </c>
      <c r="AU66" s="181"/>
      <c r="AV66" s="184">
        <f>AV65</f>
        <v>67575.87</v>
      </c>
      <c r="AW66" s="180" t="str">
        <f t="shared" si="38"/>
        <v>BASP1</v>
      </c>
      <c r="AX66" s="181">
        <v>26</v>
      </c>
      <c r="AY66" s="184">
        <v>22135.11</v>
      </c>
      <c r="AZ66" s="180" t="str">
        <f t="shared" si="39"/>
        <v>BASP2</v>
      </c>
      <c r="BA66" s="181">
        <v>26</v>
      </c>
      <c r="BB66" s="184">
        <v>22965.56</v>
      </c>
      <c r="BC66" s="180" t="str">
        <f t="shared" si="40"/>
        <v>BASP3</v>
      </c>
      <c r="BD66" s="181">
        <v>26</v>
      </c>
      <c r="BE66" s="184">
        <v>24850.799999999999</v>
      </c>
      <c r="BF66" s="180" t="str">
        <f t="shared" si="41"/>
        <v>BASP4</v>
      </c>
      <c r="BG66" s="181">
        <v>26</v>
      </c>
      <c r="BH66" s="184">
        <v>26350.799999999999</v>
      </c>
    </row>
    <row r="67" spans="1:60" x14ac:dyDescent="0.2">
      <c r="A67" s="180"/>
      <c r="B67" s="181"/>
      <c r="C67" s="182"/>
      <c r="D67" s="181"/>
      <c r="E67" s="181"/>
      <c r="F67" s="181"/>
      <c r="G67" s="177"/>
      <c r="H67" s="178"/>
      <c r="I67" s="179"/>
      <c r="J67" s="177"/>
      <c r="K67" s="178"/>
      <c r="L67" s="179"/>
      <c r="M67" s="177"/>
      <c r="N67" s="178"/>
      <c r="O67" s="179"/>
      <c r="P67" s="177"/>
      <c r="Q67" s="178"/>
      <c r="R67" s="179"/>
      <c r="S67" s="180" t="str">
        <f t="shared" si="28"/>
        <v>O7</v>
      </c>
      <c r="T67" s="181">
        <v>27</v>
      </c>
      <c r="U67" s="183">
        <v>57217.74</v>
      </c>
      <c r="V67" s="180" t="str">
        <f t="shared" si="29"/>
        <v>O8</v>
      </c>
      <c r="W67" s="181">
        <v>27</v>
      </c>
      <c r="X67" s="183">
        <v>62795.25</v>
      </c>
      <c r="Y67" s="180"/>
      <c r="Z67" s="181"/>
      <c r="AA67" s="182"/>
      <c r="AB67" s="180"/>
      <c r="AC67" s="181"/>
      <c r="AD67" s="182"/>
      <c r="AE67" s="180"/>
      <c r="AF67" s="181"/>
      <c r="AG67" s="182"/>
      <c r="AH67" s="180"/>
      <c r="AI67" s="181"/>
      <c r="AJ67" s="182"/>
      <c r="AK67" s="180"/>
      <c r="AL67" s="181"/>
      <c r="AM67" s="182"/>
      <c r="AN67" s="180"/>
      <c r="AO67" s="181"/>
      <c r="AP67" s="182"/>
      <c r="AQ67" s="180"/>
      <c r="AR67" s="181"/>
      <c r="AS67" s="182"/>
      <c r="AT67" s="180"/>
      <c r="AU67" s="181"/>
      <c r="AV67" s="182"/>
      <c r="AW67" s="180" t="str">
        <f t="shared" si="38"/>
        <v>BASP1</v>
      </c>
      <c r="AX67" s="181">
        <v>27</v>
      </c>
      <c r="AY67" s="184">
        <v>22758.720000000001</v>
      </c>
      <c r="AZ67" s="180" t="str">
        <f t="shared" si="39"/>
        <v>BASP2</v>
      </c>
      <c r="BA67" s="181">
        <v>27</v>
      </c>
      <c r="BB67" s="184">
        <v>23500.69</v>
      </c>
      <c r="BC67" s="180" t="str">
        <f t="shared" si="40"/>
        <v>BASP3</v>
      </c>
      <c r="BD67" s="181">
        <v>27</v>
      </c>
      <c r="BE67" s="184">
        <v>25474.41</v>
      </c>
      <c r="BF67" s="180" t="str">
        <f t="shared" si="41"/>
        <v>BASP4</v>
      </c>
      <c r="BG67" s="181">
        <v>27</v>
      </c>
      <c r="BH67" s="184">
        <v>26974.41</v>
      </c>
    </row>
    <row r="68" spans="1:60" x14ac:dyDescent="0.2">
      <c r="A68" s="185"/>
      <c r="B68" s="186"/>
      <c r="C68" s="187"/>
      <c r="D68" s="186"/>
      <c r="E68" s="186"/>
      <c r="F68" s="186"/>
      <c r="G68" s="189"/>
      <c r="H68" s="190"/>
      <c r="I68" s="191"/>
      <c r="J68" s="189"/>
      <c r="K68" s="190"/>
      <c r="L68" s="191"/>
      <c r="M68" s="189"/>
      <c r="N68" s="190"/>
      <c r="O68" s="191"/>
      <c r="P68" s="189"/>
      <c r="Q68" s="190"/>
      <c r="R68" s="191"/>
      <c r="S68" s="180" t="str">
        <f t="shared" si="28"/>
        <v>O7</v>
      </c>
      <c r="T68" s="181">
        <v>28</v>
      </c>
      <c r="U68" s="183">
        <v>58705.11</v>
      </c>
      <c r="V68" s="180" t="str">
        <f t="shared" si="29"/>
        <v>O8</v>
      </c>
      <c r="W68" s="181">
        <v>28</v>
      </c>
      <c r="X68" s="183">
        <v>64406.559999999998</v>
      </c>
      <c r="Y68" s="185"/>
      <c r="Z68" s="186"/>
      <c r="AA68" s="187"/>
      <c r="AB68" s="185"/>
      <c r="AC68" s="186"/>
      <c r="AD68" s="187"/>
      <c r="AE68" s="185"/>
      <c r="AF68" s="186"/>
      <c r="AG68" s="187"/>
      <c r="AH68" s="185"/>
      <c r="AI68" s="186"/>
      <c r="AJ68" s="187"/>
      <c r="AK68" s="185"/>
      <c r="AL68" s="186"/>
      <c r="AM68" s="187"/>
      <c r="AN68" s="185"/>
      <c r="AO68" s="186"/>
      <c r="AP68" s="187"/>
      <c r="AQ68" s="185"/>
      <c r="AR68" s="186"/>
      <c r="AS68" s="187"/>
      <c r="AT68" s="185"/>
      <c r="AU68" s="186"/>
      <c r="AV68" s="187"/>
      <c r="AW68" s="180" t="str">
        <f t="shared" si="38"/>
        <v>BASP1</v>
      </c>
      <c r="AX68" s="181">
        <v>28</v>
      </c>
      <c r="AY68" s="184">
        <v>22758.720000000001</v>
      </c>
      <c r="AZ68" s="180" t="str">
        <f t="shared" si="39"/>
        <v>BASP2</v>
      </c>
      <c r="BA68" s="181">
        <v>28</v>
      </c>
      <c r="BB68" s="184">
        <v>23500.69</v>
      </c>
      <c r="BC68" s="180" t="str">
        <f t="shared" si="40"/>
        <v>BASP3</v>
      </c>
      <c r="BD68" s="181">
        <v>28</v>
      </c>
      <c r="BE68" s="184">
        <v>25474.41</v>
      </c>
      <c r="BF68" s="180" t="str">
        <f t="shared" si="41"/>
        <v>BASP4</v>
      </c>
      <c r="BG68" s="181">
        <v>28</v>
      </c>
      <c r="BH68" s="184">
        <v>26974.41</v>
      </c>
    </row>
    <row r="69" spans="1:60" x14ac:dyDescent="0.2">
      <c r="S69" s="180" t="str">
        <f t="shared" si="28"/>
        <v>O7</v>
      </c>
      <c r="T69" s="181"/>
      <c r="U69" s="183">
        <f>U68</f>
        <v>58705.11</v>
      </c>
      <c r="V69" s="180" t="str">
        <f t="shared" si="29"/>
        <v>O8</v>
      </c>
      <c r="W69" s="181"/>
      <c r="X69" s="184">
        <f>X68</f>
        <v>64406.559999999998</v>
      </c>
      <c r="AW69" s="180" t="str">
        <f t="shared" si="38"/>
        <v>BASP1</v>
      </c>
      <c r="AX69" s="181">
        <v>29</v>
      </c>
      <c r="AY69" s="184">
        <v>23382.33</v>
      </c>
      <c r="AZ69" s="180" t="str">
        <f t="shared" si="39"/>
        <v>BASP2</v>
      </c>
      <c r="BA69" s="181">
        <v>29</v>
      </c>
      <c r="BB69" s="184">
        <v>24035.82</v>
      </c>
      <c r="BC69" s="180" t="str">
        <f t="shared" si="40"/>
        <v>BASP3</v>
      </c>
      <c r="BD69" s="181">
        <v>29</v>
      </c>
      <c r="BE69" s="184">
        <v>26098.02</v>
      </c>
      <c r="BF69" s="180" t="str">
        <f t="shared" si="41"/>
        <v>BASP4</v>
      </c>
      <c r="BG69" s="181">
        <v>29</v>
      </c>
      <c r="BH69" s="184">
        <v>27371.360000000001</v>
      </c>
    </row>
    <row r="70" spans="1:60" x14ac:dyDescent="0.2">
      <c r="S70" s="185"/>
      <c r="T70" s="186"/>
      <c r="U70" s="186"/>
      <c r="V70" s="185"/>
      <c r="W70" s="186"/>
      <c r="X70" s="187"/>
      <c r="AW70" s="180" t="str">
        <f t="shared" si="38"/>
        <v>BASP1</v>
      </c>
      <c r="AX70" s="181"/>
      <c r="AY70" s="184">
        <f>AY69</f>
        <v>23382.33</v>
      </c>
      <c r="AZ70" s="180" t="str">
        <f t="shared" si="39"/>
        <v>BASP2</v>
      </c>
      <c r="BA70" s="181"/>
      <c r="BB70" s="184">
        <f>BB69</f>
        <v>24035.82</v>
      </c>
      <c r="BC70" s="180" t="str">
        <f t="shared" si="40"/>
        <v>BASP3</v>
      </c>
      <c r="BD70" s="181"/>
      <c r="BE70" s="184">
        <f>BE69</f>
        <v>26098.02</v>
      </c>
      <c r="BF70" s="180" t="str">
        <f t="shared" si="41"/>
        <v>BASP4</v>
      </c>
      <c r="BG70" s="181"/>
      <c r="BH70" s="184">
        <f>BH69</f>
        <v>27371.360000000001</v>
      </c>
    </row>
    <row r="71" spans="1:60"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80"/>
      <c r="AX71" s="181"/>
      <c r="AY71" s="182"/>
      <c r="AZ71" s="180"/>
      <c r="BA71" s="181"/>
      <c r="BB71" s="182"/>
      <c r="BC71" s="180"/>
      <c r="BD71" s="181"/>
      <c r="BE71" s="182"/>
      <c r="BF71" s="180"/>
      <c r="BG71" s="181"/>
      <c r="BH71" s="182"/>
    </row>
    <row r="72" spans="1:60"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85"/>
      <c r="AX72" s="186"/>
      <c r="AY72" s="187"/>
      <c r="AZ72" s="185"/>
      <c r="BA72" s="186"/>
      <c r="BB72" s="187"/>
      <c r="BC72" s="185"/>
      <c r="BD72" s="186"/>
      <c r="BE72" s="187"/>
      <c r="BF72" s="185"/>
      <c r="BG72" s="186"/>
      <c r="BH72" s="187"/>
    </row>
  </sheetData>
  <sheetProtection password="EC91" sheet="1" objects="1" scenarios="1" selectLockedCells="1"/>
  <mergeCells count="43">
    <mergeCell ref="S1:U2"/>
    <mergeCell ref="BC1:BE2"/>
    <mergeCell ref="V1:X2"/>
    <mergeCell ref="A1:C2"/>
    <mergeCell ref="D1:F2"/>
    <mergeCell ref="G1:I2"/>
    <mergeCell ref="M1:O2"/>
    <mergeCell ref="P1:R2"/>
    <mergeCell ref="P37:R38"/>
    <mergeCell ref="AH37:AJ38"/>
    <mergeCell ref="AK37:AM38"/>
    <mergeCell ref="S37:U38"/>
    <mergeCell ref="V37:X38"/>
    <mergeCell ref="BL1:BN2"/>
    <mergeCell ref="BO1:BQ2"/>
    <mergeCell ref="A37:C38"/>
    <mergeCell ref="D37:F38"/>
    <mergeCell ref="G37:I38"/>
    <mergeCell ref="J37:L38"/>
    <mergeCell ref="M37:O38"/>
    <mergeCell ref="J1:L2"/>
    <mergeCell ref="AN1:AP2"/>
    <mergeCell ref="AQ1:AS2"/>
    <mergeCell ref="AT1:AV2"/>
    <mergeCell ref="AW1:AY2"/>
    <mergeCell ref="AZ1:BB2"/>
    <mergeCell ref="AW37:AY38"/>
    <mergeCell ref="AZ37:BB38"/>
    <mergeCell ref="AT37:AV38"/>
    <mergeCell ref="Y37:AA38"/>
    <mergeCell ref="AB37:AD38"/>
    <mergeCell ref="AE37:AG38"/>
    <mergeCell ref="BF1:BH2"/>
    <mergeCell ref="BI1:BK2"/>
    <mergeCell ref="AN37:AP38"/>
    <mergeCell ref="AQ37:AS38"/>
    <mergeCell ref="Y1:AA2"/>
    <mergeCell ref="AB1:AD2"/>
    <mergeCell ref="AE1:AG2"/>
    <mergeCell ref="AH1:AJ2"/>
    <mergeCell ref="AK1:AM2"/>
    <mergeCell ref="BC37:BE38"/>
    <mergeCell ref="BF37:BH3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
  <dimension ref="A1:CY74"/>
  <sheetViews>
    <sheetView workbookViewId="0">
      <selection activeCell="A3" sqref="A3"/>
    </sheetView>
  </sheetViews>
  <sheetFormatPr defaultRowHeight="14.25" x14ac:dyDescent="0.2"/>
  <cols>
    <col min="1" max="1" width="5.7109375" style="1" customWidth="1"/>
    <col min="2" max="2" width="3.42578125" style="1" customWidth="1"/>
    <col min="3" max="3" width="8.42578125" style="1" customWidth="1"/>
    <col min="4" max="4" width="5.7109375" style="1" customWidth="1"/>
    <col min="5" max="5" width="3.28515625" style="1" customWidth="1"/>
    <col min="6" max="6" width="8.85546875" style="1" customWidth="1"/>
    <col min="7" max="7" width="5.7109375" style="1" customWidth="1"/>
    <col min="8" max="8" width="3.42578125" style="1" customWidth="1"/>
    <col min="9" max="9" width="8.42578125" style="1" customWidth="1"/>
    <col min="10" max="10" width="5" style="1" customWidth="1"/>
    <col min="11" max="11" width="4" style="1" customWidth="1"/>
    <col min="12" max="12" width="8.85546875" style="1" customWidth="1"/>
    <col min="13" max="14" width="4.140625" style="1" customWidth="1"/>
    <col min="15" max="15" width="8.42578125" style="1" customWidth="1"/>
    <col min="16" max="16" width="4.28515625" style="1" customWidth="1"/>
    <col min="17" max="17" width="3.85546875" style="1" customWidth="1"/>
    <col min="18" max="18" width="8.28515625" style="1" customWidth="1"/>
    <col min="19" max="19" width="4.140625" style="1" customWidth="1"/>
    <col min="20" max="20" width="3.42578125" style="1" customWidth="1"/>
    <col min="21" max="21" width="8" style="1" customWidth="1"/>
    <col min="22" max="22" width="3.85546875" style="1" customWidth="1"/>
    <col min="23" max="23" width="3.140625" style="1" customWidth="1"/>
    <col min="24" max="24" width="7.85546875" style="1" customWidth="1"/>
    <col min="25" max="25" width="5.28515625" style="1" customWidth="1"/>
    <col min="26" max="26" width="3.42578125" style="1" customWidth="1"/>
    <col min="27" max="27" width="8.42578125" style="1" customWidth="1"/>
    <col min="28" max="28" width="5.42578125" style="1" customWidth="1"/>
    <col min="29" max="29" width="3.42578125" style="1" customWidth="1"/>
    <col min="30" max="30" width="8.42578125" style="1" customWidth="1"/>
    <col min="31" max="31" width="3.7109375" style="1" customWidth="1"/>
    <col min="32" max="32" width="3.140625" style="1" customWidth="1"/>
    <col min="33" max="33" width="8.42578125" style="1" customWidth="1"/>
    <col min="34" max="34" width="5.140625" style="1" customWidth="1"/>
    <col min="35" max="35" width="4.28515625" style="1" customWidth="1"/>
    <col min="36" max="36" width="8.140625" style="1" customWidth="1"/>
    <col min="37" max="37" width="4.28515625" style="1" customWidth="1"/>
    <col min="38" max="38" width="4.140625" style="1" customWidth="1"/>
    <col min="39" max="39" width="8.140625" style="1" customWidth="1"/>
    <col min="40" max="40" width="5.140625" style="1" customWidth="1"/>
    <col min="41" max="41" width="2.42578125" style="1" customWidth="1"/>
    <col min="42" max="42" width="7.28515625" style="1" customWidth="1"/>
    <col min="43" max="43" width="5.42578125" style="1" customWidth="1"/>
    <col min="44" max="44" width="3" style="1" customWidth="1"/>
    <col min="45" max="45" width="8.42578125" style="1" customWidth="1"/>
    <col min="46" max="46" width="6.140625" style="1" customWidth="1"/>
    <col min="47" max="47" width="3.85546875" style="1" customWidth="1"/>
    <col min="48" max="48" width="8.42578125" style="1" customWidth="1"/>
    <col min="49" max="49" width="4.42578125" style="1" bestFit="1" customWidth="1"/>
    <col min="50" max="50" width="3.42578125" style="1" customWidth="1"/>
    <col min="51" max="51" width="7.7109375" style="1" customWidth="1"/>
    <col min="52" max="52" width="4.42578125" style="1" bestFit="1" customWidth="1"/>
    <col min="53" max="53" width="4.28515625" style="1" customWidth="1"/>
    <col min="54" max="54" width="8" style="1" customWidth="1"/>
    <col min="55" max="55" width="4.42578125" style="1" bestFit="1" customWidth="1"/>
    <col min="56" max="56" width="3.140625" style="1" customWidth="1"/>
    <col min="57" max="57" width="11.42578125" style="1" customWidth="1"/>
    <col min="58" max="58" width="4" style="1" customWidth="1"/>
    <col min="59" max="59" width="4.140625" style="1" customWidth="1"/>
    <col min="60" max="60" width="9.28515625" style="1" customWidth="1"/>
    <col min="61" max="61" width="4.42578125" style="1" bestFit="1" customWidth="1"/>
    <col min="62" max="62" width="3.42578125" style="1" customWidth="1"/>
    <col min="63" max="63" width="7.7109375" style="1" customWidth="1"/>
    <col min="64" max="64" width="4.42578125" style="1" bestFit="1" customWidth="1"/>
    <col min="65" max="65" width="4.28515625" style="1" customWidth="1"/>
    <col min="66" max="66" width="8" style="1" customWidth="1"/>
    <col min="67" max="67" width="4.42578125" style="1" bestFit="1" customWidth="1"/>
    <col min="68" max="68" width="3.140625" style="1" customWidth="1"/>
    <col min="69" max="69" width="11.42578125" style="1" customWidth="1"/>
    <col min="70" max="70" width="4" style="1" customWidth="1"/>
    <col min="71" max="71" width="4.140625" style="1" customWidth="1"/>
    <col min="72" max="72" width="9.28515625" style="1" customWidth="1"/>
    <col min="73" max="73" width="4.42578125" style="1" bestFit="1" customWidth="1"/>
    <col min="74" max="74" width="3.42578125" style="1" customWidth="1"/>
    <col min="75" max="75" width="7.7109375" style="1" customWidth="1"/>
    <col min="76" max="76" width="4.42578125" style="1" bestFit="1" customWidth="1"/>
    <col min="77" max="77" width="4.28515625" style="1" customWidth="1"/>
    <col min="78" max="78" width="8" style="1" customWidth="1"/>
    <col min="79" max="79" width="4.42578125" style="1" bestFit="1" customWidth="1"/>
    <col min="80" max="80" width="3.140625" style="1" customWidth="1"/>
    <col min="81" max="81" width="11.42578125" style="1" customWidth="1"/>
    <col min="82" max="82" width="4" style="1" customWidth="1"/>
    <col min="83" max="83" width="4.140625" style="1" customWidth="1"/>
    <col min="84" max="84" width="9.28515625" style="1" customWidth="1"/>
    <col min="85" max="85" width="5.42578125" style="1" customWidth="1"/>
    <col min="86" max="86" width="3.42578125" style="1" customWidth="1"/>
    <col min="87" max="87" width="9.7109375" style="1" customWidth="1"/>
    <col min="88" max="88" width="7.140625" style="1" customWidth="1"/>
    <col min="89" max="89" width="3.85546875" style="1" customWidth="1"/>
    <col min="90" max="90" width="7.42578125" style="1" customWidth="1"/>
    <col min="91" max="91" width="4.42578125" style="1" bestFit="1" customWidth="1"/>
    <col min="92" max="92" width="3.140625" style="1" customWidth="1"/>
    <col min="93" max="93" width="11.42578125" style="1" customWidth="1"/>
    <col min="94" max="94" width="4" style="1" customWidth="1"/>
    <col min="95" max="95" width="4.140625" style="1" customWidth="1"/>
    <col min="96" max="96" width="9.28515625" style="1" customWidth="1"/>
    <col min="97" max="97" width="5.42578125" style="1" customWidth="1"/>
    <col min="98" max="98" width="3.42578125" style="1" customWidth="1"/>
    <col min="99" max="99" width="9.7109375" style="1" customWidth="1"/>
    <col min="100" max="100" width="7.140625" style="1" customWidth="1"/>
    <col min="101" max="101" width="3.85546875" style="1" customWidth="1"/>
    <col min="102" max="102" width="7.42578125" style="1" customWidth="1"/>
    <col min="103" max="256" width="11.42578125" style="1" customWidth="1"/>
    <col min="257" max="16384" width="9.140625" style="1"/>
  </cols>
  <sheetData>
    <row r="1" spans="1:103" ht="15" customHeight="1" x14ac:dyDescent="0.2">
      <c r="A1" s="479" t="s">
        <v>270</v>
      </c>
      <c r="B1" s="480"/>
      <c r="C1" s="481"/>
      <c r="D1" s="479" t="s">
        <v>271</v>
      </c>
      <c r="E1" s="480"/>
      <c r="F1" s="481"/>
      <c r="G1" s="479" t="s">
        <v>272</v>
      </c>
      <c r="H1" s="480"/>
      <c r="I1" s="481"/>
      <c r="J1" s="479" t="s">
        <v>273</v>
      </c>
      <c r="K1" s="480"/>
      <c r="L1" s="481"/>
      <c r="M1" s="479" t="s">
        <v>274</v>
      </c>
      <c r="N1" s="480"/>
      <c r="O1" s="481"/>
      <c r="P1" s="479" t="s">
        <v>275</v>
      </c>
      <c r="Q1" s="480"/>
      <c r="R1" s="481"/>
      <c r="S1" s="479" t="s">
        <v>276</v>
      </c>
      <c r="T1" s="480"/>
      <c r="U1" s="481"/>
      <c r="V1" s="479" t="s">
        <v>277</v>
      </c>
      <c r="W1" s="480"/>
      <c r="X1" s="481"/>
      <c r="Y1" s="479" t="s">
        <v>278</v>
      </c>
      <c r="Z1" s="480"/>
      <c r="AA1" s="481"/>
      <c r="AB1" s="479" t="s">
        <v>279</v>
      </c>
      <c r="AC1" s="480"/>
      <c r="AD1" s="481"/>
      <c r="AE1" s="479" t="s">
        <v>280</v>
      </c>
      <c r="AF1" s="480"/>
      <c r="AG1" s="481"/>
      <c r="AH1" s="479" t="s">
        <v>281</v>
      </c>
      <c r="AI1" s="480"/>
      <c r="AJ1" s="481"/>
      <c r="AK1" s="479" t="s">
        <v>282</v>
      </c>
      <c r="AL1" s="480"/>
      <c r="AM1" s="481"/>
      <c r="AN1" s="479" t="s">
        <v>283</v>
      </c>
      <c r="AO1" s="480"/>
      <c r="AP1" s="481"/>
      <c r="AQ1" s="479" t="s">
        <v>284</v>
      </c>
      <c r="AR1" s="480"/>
      <c r="AS1" s="481"/>
      <c r="AT1" s="479" t="s">
        <v>285</v>
      </c>
      <c r="AU1" s="480"/>
      <c r="AV1" s="481"/>
      <c r="AW1" s="479" t="s">
        <v>286</v>
      </c>
      <c r="AX1" s="480"/>
      <c r="AY1" s="481"/>
      <c r="AZ1" s="479" t="s">
        <v>287</v>
      </c>
      <c r="BA1" s="480"/>
      <c r="BB1" s="481"/>
      <c r="BC1" s="479" t="s">
        <v>288</v>
      </c>
      <c r="BD1" s="480"/>
      <c r="BE1" s="481"/>
      <c r="BF1" s="479" t="s">
        <v>289</v>
      </c>
      <c r="BG1" s="480"/>
      <c r="BH1" s="481"/>
      <c r="BI1" s="479" t="s">
        <v>290</v>
      </c>
      <c r="BJ1" s="480"/>
      <c r="BK1" s="481"/>
      <c r="BL1" s="479" t="s">
        <v>291</v>
      </c>
      <c r="BM1" s="480"/>
      <c r="BN1" s="481"/>
      <c r="BO1" s="479" t="s">
        <v>292</v>
      </c>
      <c r="BP1" s="480"/>
      <c r="BQ1" s="481"/>
      <c r="BR1" s="479" t="s">
        <v>293</v>
      </c>
      <c r="BS1" s="480"/>
      <c r="BT1" s="481"/>
      <c r="BU1" s="479" t="s">
        <v>294</v>
      </c>
      <c r="BV1" s="480"/>
      <c r="BW1" s="481"/>
      <c r="BX1" s="479" t="s">
        <v>295</v>
      </c>
      <c r="BY1" s="480"/>
      <c r="BZ1" s="481"/>
      <c r="CA1" s="479" t="s">
        <v>296</v>
      </c>
      <c r="CB1" s="480"/>
      <c r="CC1" s="481"/>
      <c r="CD1" s="479" t="s">
        <v>297</v>
      </c>
      <c r="CE1" s="480"/>
      <c r="CF1" s="481"/>
      <c r="CG1" s="479" t="s">
        <v>298</v>
      </c>
      <c r="CH1" s="480"/>
      <c r="CI1" s="481"/>
      <c r="CJ1" s="479" t="s">
        <v>299</v>
      </c>
      <c r="CK1" s="480"/>
      <c r="CL1" s="480"/>
      <c r="CM1" s="479" t="s">
        <v>300</v>
      </c>
      <c r="CN1" s="480"/>
      <c r="CO1" s="481"/>
      <c r="CP1" s="479" t="s">
        <v>301</v>
      </c>
      <c r="CQ1" s="480"/>
      <c r="CR1" s="481"/>
      <c r="CS1" s="479" t="s">
        <v>302</v>
      </c>
      <c r="CT1" s="480"/>
      <c r="CU1" s="481"/>
      <c r="CV1" s="479" t="s">
        <v>303</v>
      </c>
      <c r="CW1" s="480"/>
      <c r="CX1" s="480"/>
      <c r="CY1" s="16"/>
    </row>
    <row r="2" spans="1:103" x14ac:dyDescent="0.2">
      <c r="A2" s="482"/>
      <c r="B2" s="483"/>
      <c r="C2" s="484"/>
      <c r="D2" s="482"/>
      <c r="E2" s="483"/>
      <c r="F2" s="484"/>
      <c r="G2" s="482"/>
      <c r="H2" s="483"/>
      <c r="I2" s="484"/>
      <c r="J2" s="482"/>
      <c r="K2" s="483"/>
      <c r="L2" s="484"/>
      <c r="M2" s="482"/>
      <c r="N2" s="483"/>
      <c r="O2" s="484"/>
      <c r="P2" s="482"/>
      <c r="Q2" s="483"/>
      <c r="R2" s="484"/>
      <c r="S2" s="482"/>
      <c r="T2" s="483"/>
      <c r="U2" s="484"/>
      <c r="V2" s="482"/>
      <c r="W2" s="483"/>
      <c r="X2" s="484"/>
      <c r="Y2" s="482"/>
      <c r="Z2" s="483"/>
      <c r="AA2" s="484"/>
      <c r="AB2" s="482"/>
      <c r="AC2" s="483"/>
      <c r="AD2" s="484"/>
      <c r="AE2" s="482"/>
      <c r="AF2" s="483"/>
      <c r="AG2" s="484"/>
      <c r="AH2" s="482"/>
      <c r="AI2" s="483"/>
      <c r="AJ2" s="484"/>
      <c r="AK2" s="482"/>
      <c r="AL2" s="483"/>
      <c r="AM2" s="484"/>
      <c r="AN2" s="482"/>
      <c r="AO2" s="483"/>
      <c r="AP2" s="484"/>
      <c r="AQ2" s="482"/>
      <c r="AR2" s="483"/>
      <c r="AS2" s="484"/>
      <c r="AT2" s="482"/>
      <c r="AU2" s="483"/>
      <c r="AV2" s="484"/>
      <c r="AW2" s="482"/>
      <c r="AX2" s="483"/>
      <c r="AY2" s="484"/>
      <c r="AZ2" s="482"/>
      <c r="BA2" s="483"/>
      <c r="BB2" s="484"/>
      <c r="BC2" s="482"/>
      <c r="BD2" s="483"/>
      <c r="BE2" s="484"/>
      <c r="BF2" s="482"/>
      <c r="BG2" s="483"/>
      <c r="BH2" s="484"/>
      <c r="BI2" s="482"/>
      <c r="BJ2" s="483"/>
      <c r="BK2" s="484"/>
      <c r="BL2" s="482"/>
      <c r="BM2" s="483"/>
      <c r="BN2" s="484"/>
      <c r="BO2" s="482"/>
      <c r="BP2" s="483"/>
      <c r="BQ2" s="484"/>
      <c r="BR2" s="482"/>
      <c r="BS2" s="483"/>
      <c r="BT2" s="484"/>
      <c r="BU2" s="482"/>
      <c r="BV2" s="483"/>
      <c r="BW2" s="484"/>
      <c r="BX2" s="482"/>
      <c r="BY2" s="483"/>
      <c r="BZ2" s="484"/>
      <c r="CA2" s="482"/>
      <c r="CB2" s="483"/>
      <c r="CC2" s="484"/>
      <c r="CD2" s="482"/>
      <c r="CE2" s="483"/>
      <c r="CF2" s="484"/>
      <c r="CG2" s="482"/>
      <c r="CH2" s="483"/>
      <c r="CI2" s="484"/>
      <c r="CJ2" s="482"/>
      <c r="CK2" s="483"/>
      <c r="CL2" s="483"/>
      <c r="CM2" s="482"/>
      <c r="CN2" s="483"/>
      <c r="CO2" s="484"/>
      <c r="CP2" s="482"/>
      <c r="CQ2" s="483"/>
      <c r="CR2" s="484"/>
      <c r="CS2" s="482"/>
      <c r="CT2" s="483"/>
      <c r="CU2" s="484"/>
      <c r="CV2" s="482"/>
      <c r="CW2" s="483"/>
      <c r="CX2" s="483"/>
      <c r="CY2" s="16"/>
    </row>
    <row r="3" spans="1:103" x14ac:dyDescent="0.2">
      <c r="A3" s="177"/>
      <c r="B3" s="178"/>
      <c r="C3" s="178"/>
      <c r="D3" s="177"/>
      <c r="E3" s="178"/>
      <c r="F3" s="179"/>
      <c r="G3" s="178"/>
      <c r="H3" s="178"/>
      <c r="I3" s="179"/>
      <c r="J3" s="178"/>
      <c r="K3" s="178"/>
      <c r="L3" s="179"/>
      <c r="M3" s="178"/>
      <c r="N3" s="178"/>
      <c r="O3" s="179"/>
      <c r="P3" s="177"/>
      <c r="Q3" s="178"/>
      <c r="R3" s="179"/>
      <c r="S3" s="177"/>
      <c r="T3" s="178"/>
      <c r="U3" s="179"/>
      <c r="V3" s="177"/>
      <c r="W3" s="178"/>
      <c r="X3" s="179"/>
      <c r="Y3" s="177"/>
      <c r="Z3" s="178"/>
      <c r="AA3" s="179"/>
      <c r="AB3" s="177"/>
      <c r="AC3" s="178"/>
      <c r="AD3" s="179"/>
      <c r="AE3" s="178"/>
      <c r="AF3" s="178"/>
      <c r="AG3" s="178"/>
      <c r="AH3" s="177"/>
      <c r="AI3" s="178"/>
      <c r="AJ3" s="179"/>
      <c r="AK3" s="178"/>
      <c r="AL3" s="178"/>
      <c r="AM3" s="178"/>
      <c r="AN3" s="177"/>
      <c r="AO3" s="178"/>
      <c r="AP3" s="179"/>
      <c r="AQ3" s="178"/>
      <c r="AR3" s="178"/>
      <c r="AS3" s="178"/>
      <c r="AT3" s="177"/>
      <c r="AU3" s="178"/>
      <c r="AV3" s="179"/>
      <c r="AW3" s="178"/>
      <c r="AX3" s="178"/>
      <c r="AY3" s="178"/>
      <c r="AZ3" s="177"/>
      <c r="BA3" s="178"/>
      <c r="BB3" s="179"/>
      <c r="BC3" s="178"/>
      <c r="BD3" s="287"/>
      <c r="BE3" s="178"/>
      <c r="BF3" s="177"/>
      <c r="BG3" s="178"/>
      <c r="BH3" s="179"/>
      <c r="BI3" s="177"/>
      <c r="BJ3" s="178"/>
      <c r="BK3" s="179"/>
      <c r="BL3" s="177"/>
      <c r="BM3" s="178"/>
      <c r="BN3" s="179"/>
      <c r="BO3" s="178"/>
      <c r="BP3" s="287"/>
      <c r="BQ3" s="178"/>
      <c r="BR3" s="177"/>
      <c r="BS3" s="178"/>
      <c r="BT3" s="179"/>
      <c r="BU3" s="177"/>
      <c r="BV3" s="178"/>
      <c r="BW3" s="179"/>
      <c r="BX3" s="177"/>
      <c r="BY3" s="178"/>
      <c r="BZ3" s="179"/>
      <c r="CA3" s="178"/>
      <c r="CB3" s="287"/>
      <c r="CC3" s="178"/>
      <c r="CD3" s="177"/>
      <c r="CE3" s="178"/>
      <c r="CF3" s="179"/>
      <c r="CG3" s="177"/>
      <c r="CH3" s="178"/>
      <c r="CI3" s="179"/>
      <c r="CJ3" s="177"/>
      <c r="CK3" s="178"/>
      <c r="CL3" s="178"/>
      <c r="CM3" s="178"/>
      <c r="CN3" s="287"/>
      <c r="CO3" s="178"/>
      <c r="CP3" s="177"/>
      <c r="CQ3" s="178"/>
      <c r="CR3" s="179"/>
      <c r="CS3" s="177"/>
      <c r="CT3" s="178"/>
      <c r="CU3" s="179"/>
      <c r="CV3" s="177"/>
      <c r="CW3" s="178"/>
      <c r="CX3" s="178"/>
      <c r="CY3" s="16"/>
    </row>
    <row r="4" spans="1:103" x14ac:dyDescent="0.2">
      <c r="A4" s="180" t="str">
        <f>A$1</f>
        <v>A11</v>
      </c>
      <c r="B4" s="181">
        <v>0</v>
      </c>
      <c r="C4" s="183">
        <v>21880</v>
      </c>
      <c r="D4" s="180" t="str">
        <f>D$1</f>
        <v>A12</v>
      </c>
      <c r="E4" s="181">
        <v>0</v>
      </c>
      <c r="F4" s="184">
        <v>23880</v>
      </c>
      <c r="G4" s="180" t="str">
        <f>G$1</f>
        <v>A21</v>
      </c>
      <c r="H4" s="181">
        <v>0</v>
      </c>
      <c r="I4" s="184">
        <v>25880</v>
      </c>
      <c r="J4" s="180" t="str">
        <f>J$1</f>
        <v>A22</v>
      </c>
      <c r="K4" s="181">
        <v>0</v>
      </c>
      <c r="L4" s="184">
        <v>28880</v>
      </c>
      <c r="M4" s="180" t="str">
        <f>M$1</f>
        <v>A23</v>
      </c>
      <c r="N4" s="181">
        <v>0</v>
      </c>
      <c r="O4" s="184">
        <v>31880</v>
      </c>
      <c r="P4" s="180" t="str">
        <f>P$1</f>
        <v>A31</v>
      </c>
      <c r="Q4" s="181">
        <v>0</v>
      </c>
      <c r="R4" s="184">
        <v>32380</v>
      </c>
      <c r="S4" s="180" t="str">
        <f>S$1</f>
        <v>A32</v>
      </c>
      <c r="T4" s="181">
        <v>0</v>
      </c>
      <c r="U4" s="184">
        <v>35880</v>
      </c>
      <c r="V4" s="180" t="str">
        <f>V$1</f>
        <v>A33</v>
      </c>
      <c r="W4" s="181">
        <v>0</v>
      </c>
      <c r="X4" s="184">
        <v>38880</v>
      </c>
      <c r="Y4" s="180" t="str">
        <f>Y$1</f>
        <v>A41</v>
      </c>
      <c r="Z4" s="181">
        <v>0</v>
      </c>
      <c r="AA4" s="184">
        <v>39570</v>
      </c>
      <c r="AB4" s="180" t="str">
        <f>AB$1</f>
        <v>A42</v>
      </c>
      <c r="AC4" s="181">
        <v>0</v>
      </c>
      <c r="AD4" s="184">
        <v>42570</v>
      </c>
      <c r="AE4" s="180" t="str">
        <f>AE$1</f>
        <v>A43</v>
      </c>
      <c r="AF4" s="181">
        <v>0</v>
      </c>
      <c r="AG4" s="184">
        <v>45570</v>
      </c>
      <c r="AH4" s="180" t="str">
        <f>AH$1</f>
        <v>A51</v>
      </c>
      <c r="AI4" s="181">
        <v>0</v>
      </c>
      <c r="AJ4" s="184">
        <v>47360</v>
      </c>
      <c r="AK4" s="180" t="str">
        <f>AK$1</f>
        <v>A52</v>
      </c>
      <c r="AL4" s="181">
        <v>0</v>
      </c>
      <c r="AM4" s="184">
        <v>50360</v>
      </c>
      <c r="AN4" s="180" t="str">
        <f>AN$1</f>
        <v>A53</v>
      </c>
      <c r="AO4" s="181">
        <v>0</v>
      </c>
      <c r="AP4" s="184">
        <v>53360</v>
      </c>
      <c r="AQ4" s="180" t="str">
        <f>AQ$1</f>
        <v>BB1</v>
      </c>
      <c r="AR4" s="181">
        <v>0</v>
      </c>
      <c r="AS4" s="184">
        <v>16136.73</v>
      </c>
      <c r="AT4" s="180" t="str">
        <f>AT$1</f>
        <v>BB2</v>
      </c>
      <c r="AU4" s="181">
        <v>0</v>
      </c>
      <c r="AV4" s="184">
        <v>18395.830000000002</v>
      </c>
      <c r="AW4" s="180" t="str">
        <f>AW$1</f>
        <v>BB3</v>
      </c>
      <c r="AX4" s="288">
        <v>0</v>
      </c>
      <c r="AY4" s="184">
        <v>19889.7</v>
      </c>
      <c r="AZ4" s="180" t="str">
        <f>AZ$1</f>
        <v>BB4</v>
      </c>
      <c r="BA4" s="288">
        <v>0</v>
      </c>
      <c r="BB4" s="184">
        <v>19738</v>
      </c>
      <c r="BC4" s="180" t="str">
        <f>BC$1</f>
        <v>B1A</v>
      </c>
      <c r="BD4" s="288">
        <v>0</v>
      </c>
      <c r="BE4" s="184">
        <v>16136.73</v>
      </c>
      <c r="BF4" s="180" t="str">
        <f>BF$1</f>
        <v>B2A</v>
      </c>
      <c r="BG4" s="288">
        <v>0</v>
      </c>
      <c r="BH4" s="184">
        <v>18513.5</v>
      </c>
      <c r="BI4" s="180" t="str">
        <f>BI$1</f>
        <v>B3A</v>
      </c>
      <c r="BJ4" s="288">
        <v>0</v>
      </c>
      <c r="BK4" s="184">
        <v>21470.11</v>
      </c>
      <c r="BL4" s="180" t="str">
        <f>BL$1</f>
        <v>B4A</v>
      </c>
      <c r="BM4" s="288">
        <v>0</v>
      </c>
      <c r="BN4" s="184">
        <v>21885.66</v>
      </c>
      <c r="BO4" s="180" t="str">
        <f>BO$1</f>
        <v>B1B</v>
      </c>
      <c r="BP4" s="288">
        <v>0</v>
      </c>
      <c r="BQ4" s="184">
        <v>17665.5</v>
      </c>
      <c r="BR4" s="180" t="str">
        <f>BR$1</f>
        <v>B2B</v>
      </c>
      <c r="BS4" s="288">
        <v>0</v>
      </c>
      <c r="BT4" s="184">
        <v>20665.5</v>
      </c>
      <c r="BU4" s="180" t="str">
        <f>BU$1</f>
        <v>B3B</v>
      </c>
      <c r="BV4" s="288">
        <v>0</v>
      </c>
      <c r="BW4" s="184">
        <v>23665.5</v>
      </c>
      <c r="BX4" s="180" t="str">
        <f>BX$1</f>
        <v>B4B</v>
      </c>
      <c r="BY4" s="288">
        <v>0</v>
      </c>
      <c r="BZ4" s="184">
        <v>24922.5</v>
      </c>
      <c r="CA4" s="180" t="str">
        <f>CA$1</f>
        <v>B1C</v>
      </c>
      <c r="CB4" s="288">
        <v>0</v>
      </c>
      <c r="CC4" s="184">
        <v>16136.73</v>
      </c>
      <c r="CD4" s="180" t="str">
        <f>CD$1</f>
        <v>B2C</v>
      </c>
      <c r="CE4" s="288">
        <v>0</v>
      </c>
      <c r="CF4" s="184">
        <v>18395.830000000002</v>
      </c>
      <c r="CG4" s="180" t="str">
        <f>CG$1</f>
        <v>B3C</v>
      </c>
      <c r="CH4" s="288">
        <v>0</v>
      </c>
      <c r="CI4" s="184">
        <v>20868.060000000001</v>
      </c>
      <c r="CJ4" s="180" t="str">
        <f>CJ$1</f>
        <v>B4C</v>
      </c>
      <c r="CK4" s="288">
        <v>0</v>
      </c>
      <c r="CL4" s="183">
        <v>20868.060000000001</v>
      </c>
      <c r="CM4" s="180" t="str">
        <f>CM$1</f>
        <v>B1D</v>
      </c>
      <c r="CN4" s="288">
        <v>0</v>
      </c>
      <c r="CO4" s="184">
        <v>17195.5</v>
      </c>
      <c r="CP4" s="180" t="str">
        <f>CP$1</f>
        <v>B2D</v>
      </c>
      <c r="CQ4" s="288">
        <v>0</v>
      </c>
      <c r="CR4" s="184">
        <v>19695.5</v>
      </c>
      <c r="CS4" s="180" t="str">
        <f>CS$1</f>
        <v>B3D</v>
      </c>
      <c r="CT4" s="288">
        <v>0</v>
      </c>
      <c r="CU4" s="184">
        <v>20495</v>
      </c>
      <c r="CV4" s="180" t="str">
        <f>CV$1</f>
        <v>B4D</v>
      </c>
      <c r="CW4" s="288">
        <v>0</v>
      </c>
      <c r="CX4" s="183">
        <v>21294.5</v>
      </c>
      <c r="CY4" s="16"/>
    </row>
    <row r="5" spans="1:103" x14ac:dyDescent="0.2">
      <c r="A5" s="180" t="str">
        <f t="shared" ref="A5:A34" si="0">A$1</f>
        <v>A11</v>
      </c>
      <c r="B5" s="181">
        <v>1</v>
      </c>
      <c r="C5" s="183">
        <v>22325</v>
      </c>
      <c r="D5" s="180" t="str">
        <f t="shared" ref="D5:D34" si="1">D$1</f>
        <v>A12</v>
      </c>
      <c r="E5" s="181">
        <v>1</v>
      </c>
      <c r="F5" s="184">
        <v>24325</v>
      </c>
      <c r="G5" s="180" t="str">
        <f t="shared" ref="G5:G34" si="2">G$1</f>
        <v>A21</v>
      </c>
      <c r="H5" s="181">
        <v>1</v>
      </c>
      <c r="I5" s="184">
        <v>26360</v>
      </c>
      <c r="J5" s="180" t="str">
        <f t="shared" ref="J5:J34" si="3">J$1</f>
        <v>A22</v>
      </c>
      <c r="K5" s="181">
        <v>1</v>
      </c>
      <c r="L5" s="184">
        <v>29360</v>
      </c>
      <c r="M5" s="180" t="str">
        <f t="shared" ref="M5:M34" si="4">M$1</f>
        <v>A23</v>
      </c>
      <c r="N5" s="181">
        <v>1</v>
      </c>
      <c r="O5" s="184">
        <v>32360</v>
      </c>
      <c r="P5" s="180" t="str">
        <f t="shared" ref="P5:P34" si="5">P$1</f>
        <v>A31</v>
      </c>
      <c r="Q5" s="181">
        <v>1</v>
      </c>
      <c r="R5" s="184">
        <v>32900</v>
      </c>
      <c r="S5" s="180" t="str">
        <f t="shared" ref="S5:S34" si="6">S$1</f>
        <v>A32</v>
      </c>
      <c r="T5" s="181">
        <v>1</v>
      </c>
      <c r="U5" s="184">
        <v>36400</v>
      </c>
      <c r="V5" s="180" t="str">
        <f t="shared" ref="V5:V34" si="7">V$1</f>
        <v>A33</v>
      </c>
      <c r="W5" s="181">
        <v>1</v>
      </c>
      <c r="X5" s="184">
        <v>39400</v>
      </c>
      <c r="Y5" s="180" t="str">
        <f t="shared" ref="Y5:Y34" si="8">Y$1</f>
        <v>A41</v>
      </c>
      <c r="Z5" s="181">
        <v>1</v>
      </c>
      <c r="AA5" s="184">
        <v>40180</v>
      </c>
      <c r="AB5" s="180" t="str">
        <f t="shared" ref="AB5:AB34" si="9">AB$1</f>
        <v>A42</v>
      </c>
      <c r="AC5" s="181">
        <v>1</v>
      </c>
      <c r="AD5" s="184">
        <v>43180</v>
      </c>
      <c r="AE5" s="180" t="str">
        <f t="shared" ref="AE5:AE34" si="10">AE$1</f>
        <v>A43</v>
      </c>
      <c r="AF5" s="181">
        <v>1</v>
      </c>
      <c r="AG5" s="184">
        <v>46180</v>
      </c>
      <c r="AH5" s="180" t="str">
        <f t="shared" ref="AH5:AH34" si="11">AH$1</f>
        <v>A51</v>
      </c>
      <c r="AI5" s="181">
        <v>1</v>
      </c>
      <c r="AJ5" s="184">
        <v>47970</v>
      </c>
      <c r="AK5" s="180" t="str">
        <f t="shared" ref="AK5:AK34" si="12">AK$1</f>
        <v>A52</v>
      </c>
      <c r="AL5" s="181">
        <v>1</v>
      </c>
      <c r="AM5" s="184">
        <v>50970</v>
      </c>
      <c r="AN5" s="180" t="str">
        <f t="shared" ref="AN5:AN34" si="13">AN$1</f>
        <v>A53</v>
      </c>
      <c r="AO5" s="181">
        <v>1</v>
      </c>
      <c r="AP5" s="184">
        <v>53970</v>
      </c>
      <c r="AQ5" s="180" t="str">
        <f t="shared" ref="AQ5:AQ34" si="14">AQ$1</f>
        <v>BB1</v>
      </c>
      <c r="AR5" s="181">
        <v>1</v>
      </c>
      <c r="AS5" s="184">
        <v>16629.939999999999</v>
      </c>
      <c r="AT5" s="180" t="str">
        <f t="shared" ref="AT5:AT34" si="15">AT$1</f>
        <v>BB2</v>
      </c>
      <c r="AU5" s="181">
        <v>1</v>
      </c>
      <c r="AV5" s="184">
        <v>18889.04</v>
      </c>
      <c r="AW5" s="180" t="str">
        <f t="shared" ref="AW5:AW34" si="16">AW$1</f>
        <v>BB3</v>
      </c>
      <c r="AX5" s="288">
        <v>1</v>
      </c>
      <c r="AY5" s="184">
        <v>20465.490000000002</v>
      </c>
      <c r="AZ5" s="180" t="str">
        <f t="shared" ref="AZ5:AZ34" si="17">AZ$1</f>
        <v>BB4</v>
      </c>
      <c r="BA5" s="288">
        <v>1</v>
      </c>
      <c r="BB5" s="184">
        <v>20410.53</v>
      </c>
      <c r="BC5" s="180" t="str">
        <f t="shared" ref="BC5:BC34" si="18">BC$1</f>
        <v>B1A</v>
      </c>
      <c r="BD5" s="288">
        <v>1</v>
      </c>
      <c r="BE5" s="184">
        <v>16629.939999999999</v>
      </c>
      <c r="BF5" s="180" t="str">
        <f t="shared" ref="BF5:BF34" si="19">BF$1</f>
        <v>B2A</v>
      </c>
      <c r="BG5" s="288">
        <v>1</v>
      </c>
      <c r="BH5" s="184">
        <v>19182.5</v>
      </c>
      <c r="BI5" s="180" t="str">
        <f t="shared" ref="BI5:BI34" si="20">BI$1</f>
        <v>B3A</v>
      </c>
      <c r="BJ5" s="288">
        <v>1</v>
      </c>
      <c r="BK5" s="184">
        <v>21762.7</v>
      </c>
      <c r="BL5" s="180" t="str">
        <f t="shared" ref="BL5:BL34" si="21">BL$1</f>
        <v>B4A</v>
      </c>
      <c r="BM5" s="288">
        <v>1</v>
      </c>
      <c r="BN5" s="184">
        <v>22178.25</v>
      </c>
      <c r="BO5" s="180" t="str">
        <f t="shared" ref="BO5:BO34" si="22">BO$1</f>
        <v>B1B</v>
      </c>
      <c r="BP5" s="288">
        <v>1</v>
      </c>
      <c r="BQ5" s="184">
        <v>17918.5</v>
      </c>
      <c r="BR5" s="180" t="str">
        <f t="shared" ref="BR5:BR34" si="23">BR$1</f>
        <v>B2B</v>
      </c>
      <c r="BS5" s="288">
        <v>1</v>
      </c>
      <c r="BT5" s="184">
        <v>20918.5</v>
      </c>
      <c r="BU5" s="180" t="str">
        <f t="shared" ref="BU5:BU34" si="24">BU$1</f>
        <v>B3B</v>
      </c>
      <c r="BV5" s="288">
        <v>1</v>
      </c>
      <c r="BW5" s="184">
        <v>23918.5</v>
      </c>
      <c r="BX5" s="180" t="str">
        <f t="shared" ref="BX5:BX34" si="25">BX$1</f>
        <v>B4B</v>
      </c>
      <c r="BY5" s="288">
        <v>1</v>
      </c>
      <c r="BZ5" s="184">
        <v>25294.5</v>
      </c>
      <c r="CA5" s="180" t="str">
        <f t="shared" ref="CA5:CA34" si="26">CA$1</f>
        <v>B1C</v>
      </c>
      <c r="CB5" s="288">
        <v>1</v>
      </c>
      <c r="CC5" s="184">
        <v>16629.939999999999</v>
      </c>
      <c r="CD5" s="180" t="str">
        <f t="shared" ref="CD5:CD34" si="27">CD$1</f>
        <v>B2C</v>
      </c>
      <c r="CE5" s="288">
        <v>1</v>
      </c>
      <c r="CF5" s="184">
        <v>18889.04</v>
      </c>
      <c r="CG5" s="180" t="str">
        <f t="shared" ref="CG5:CG34" si="28">CG$1</f>
        <v>B3C</v>
      </c>
      <c r="CH5" s="288">
        <v>1</v>
      </c>
      <c r="CI5" s="184">
        <v>21120.240000000002</v>
      </c>
      <c r="CJ5" s="180" t="str">
        <f t="shared" ref="CJ5:CJ34" si="29">CJ$1</f>
        <v>B4C</v>
      </c>
      <c r="CK5" s="288">
        <v>1</v>
      </c>
      <c r="CL5" s="183">
        <v>21120.240000000002</v>
      </c>
      <c r="CM5" s="180" t="str">
        <f t="shared" ref="CM5:CM34" si="30">CM$1</f>
        <v>B1D</v>
      </c>
      <c r="CN5" s="288">
        <v>1</v>
      </c>
      <c r="CO5" s="184">
        <v>17448.5</v>
      </c>
      <c r="CP5" s="180" t="str">
        <f t="shared" ref="CP5:CP34" si="31">CP$1</f>
        <v>B2D</v>
      </c>
      <c r="CQ5" s="288">
        <v>1</v>
      </c>
      <c r="CR5" s="184">
        <v>19948.5</v>
      </c>
      <c r="CS5" s="180" t="str">
        <f t="shared" ref="CS5:CS34" si="32">CS$1</f>
        <v>B3D</v>
      </c>
      <c r="CT5" s="288">
        <v>1</v>
      </c>
      <c r="CU5" s="184">
        <v>20931.5</v>
      </c>
      <c r="CV5" s="180" t="str">
        <f t="shared" ref="CV5:CV34" si="33">CV$1</f>
        <v>B4D</v>
      </c>
      <c r="CW5" s="288">
        <v>1</v>
      </c>
      <c r="CX5" s="183">
        <v>21914.5</v>
      </c>
      <c r="CY5" s="16"/>
    </row>
    <row r="6" spans="1:103" x14ac:dyDescent="0.2">
      <c r="A6" s="180" t="str">
        <f t="shared" si="0"/>
        <v>A11</v>
      </c>
      <c r="B6" s="181">
        <v>2</v>
      </c>
      <c r="C6" s="183">
        <v>22770</v>
      </c>
      <c r="D6" s="180" t="str">
        <f t="shared" si="1"/>
        <v>A12</v>
      </c>
      <c r="E6" s="181">
        <v>2</v>
      </c>
      <c r="F6" s="184">
        <v>24770</v>
      </c>
      <c r="G6" s="180" t="str">
        <f t="shared" si="2"/>
        <v>A21</v>
      </c>
      <c r="H6" s="181">
        <v>2</v>
      </c>
      <c r="I6" s="184">
        <v>26840</v>
      </c>
      <c r="J6" s="180" t="str">
        <f t="shared" si="3"/>
        <v>A22</v>
      </c>
      <c r="K6" s="181">
        <v>2</v>
      </c>
      <c r="L6" s="184">
        <v>29840</v>
      </c>
      <c r="M6" s="180" t="str">
        <f t="shared" si="4"/>
        <v>A23</v>
      </c>
      <c r="N6" s="181">
        <v>2</v>
      </c>
      <c r="O6" s="184">
        <v>32840</v>
      </c>
      <c r="P6" s="180" t="str">
        <f t="shared" si="5"/>
        <v>A31</v>
      </c>
      <c r="Q6" s="181">
        <v>2</v>
      </c>
      <c r="R6" s="184">
        <v>33420</v>
      </c>
      <c r="S6" s="180" t="str">
        <f t="shared" si="6"/>
        <v>A32</v>
      </c>
      <c r="T6" s="181">
        <v>2</v>
      </c>
      <c r="U6" s="184">
        <v>36920</v>
      </c>
      <c r="V6" s="180" t="str">
        <f t="shared" si="7"/>
        <v>A33</v>
      </c>
      <c r="W6" s="181">
        <v>2</v>
      </c>
      <c r="X6" s="184">
        <v>39920</v>
      </c>
      <c r="Y6" s="180" t="str">
        <f t="shared" si="8"/>
        <v>A41</v>
      </c>
      <c r="Z6" s="181">
        <v>2</v>
      </c>
      <c r="AA6" s="184">
        <v>40790</v>
      </c>
      <c r="AB6" s="180" t="str">
        <f t="shared" si="9"/>
        <v>A42</v>
      </c>
      <c r="AC6" s="181">
        <v>2</v>
      </c>
      <c r="AD6" s="184">
        <v>43790</v>
      </c>
      <c r="AE6" s="180" t="str">
        <f t="shared" si="10"/>
        <v>A43</v>
      </c>
      <c r="AF6" s="181">
        <v>2</v>
      </c>
      <c r="AG6" s="184">
        <v>46790</v>
      </c>
      <c r="AH6" s="180" t="str">
        <f t="shared" si="11"/>
        <v>A51</v>
      </c>
      <c r="AI6" s="181">
        <v>2</v>
      </c>
      <c r="AJ6" s="184">
        <v>48580</v>
      </c>
      <c r="AK6" s="180" t="str">
        <f t="shared" si="12"/>
        <v>A52</v>
      </c>
      <c r="AL6" s="181">
        <v>2</v>
      </c>
      <c r="AM6" s="184">
        <v>51580</v>
      </c>
      <c r="AN6" s="180" t="str">
        <f t="shared" si="13"/>
        <v>A53</v>
      </c>
      <c r="AO6" s="181">
        <v>2</v>
      </c>
      <c r="AP6" s="184">
        <v>54580</v>
      </c>
      <c r="AQ6" s="180" t="str">
        <f t="shared" si="14"/>
        <v>BB1</v>
      </c>
      <c r="AR6" s="181">
        <v>2</v>
      </c>
      <c r="AS6" s="184">
        <v>17123.14</v>
      </c>
      <c r="AT6" s="180" t="str">
        <f t="shared" si="15"/>
        <v>BB2</v>
      </c>
      <c r="AU6" s="181">
        <v>2</v>
      </c>
      <c r="AV6" s="184">
        <v>19382.240000000002</v>
      </c>
      <c r="AW6" s="180" t="str">
        <f t="shared" si="16"/>
        <v>BB3</v>
      </c>
      <c r="AX6" s="288">
        <v>2</v>
      </c>
      <c r="AY6" s="184">
        <v>21094.26</v>
      </c>
      <c r="AZ6" s="180" t="str">
        <f t="shared" si="17"/>
        <v>BB4</v>
      </c>
      <c r="BA6" s="288">
        <v>2</v>
      </c>
      <c r="BB6" s="184">
        <v>21083.06</v>
      </c>
      <c r="BC6" s="180" t="str">
        <f t="shared" si="18"/>
        <v>B1A</v>
      </c>
      <c r="BD6" s="288">
        <v>2</v>
      </c>
      <c r="BE6" s="184">
        <v>17123.14</v>
      </c>
      <c r="BF6" s="180" t="str">
        <f t="shared" si="19"/>
        <v>B2A</v>
      </c>
      <c r="BG6" s="288">
        <v>2</v>
      </c>
      <c r="BH6" s="184">
        <v>19851.5</v>
      </c>
      <c r="BI6" s="180" t="str">
        <f t="shared" si="20"/>
        <v>B3A</v>
      </c>
      <c r="BJ6" s="288">
        <v>2</v>
      </c>
      <c r="BK6" s="184">
        <v>22055.29</v>
      </c>
      <c r="BL6" s="180" t="str">
        <f t="shared" si="21"/>
        <v>B4A</v>
      </c>
      <c r="BM6" s="288">
        <v>2</v>
      </c>
      <c r="BN6" s="184">
        <v>22470.84</v>
      </c>
      <c r="BO6" s="180" t="str">
        <f t="shared" si="22"/>
        <v>B1B</v>
      </c>
      <c r="BP6" s="288">
        <v>2</v>
      </c>
      <c r="BQ6" s="184">
        <v>18171.5</v>
      </c>
      <c r="BR6" s="180" t="str">
        <f t="shared" si="23"/>
        <v>B2B</v>
      </c>
      <c r="BS6" s="288">
        <v>2</v>
      </c>
      <c r="BT6" s="184">
        <v>21171.5</v>
      </c>
      <c r="BU6" s="180" t="str">
        <f t="shared" si="24"/>
        <v>B3B</v>
      </c>
      <c r="BV6" s="288">
        <v>2</v>
      </c>
      <c r="BW6" s="184">
        <v>24171.5</v>
      </c>
      <c r="BX6" s="180" t="str">
        <f t="shared" si="25"/>
        <v>B4B</v>
      </c>
      <c r="BY6" s="288">
        <v>2</v>
      </c>
      <c r="BZ6" s="184">
        <v>25666.5</v>
      </c>
      <c r="CA6" s="180" t="str">
        <f t="shared" si="26"/>
        <v>B1C</v>
      </c>
      <c r="CB6" s="288">
        <v>2</v>
      </c>
      <c r="CC6" s="184">
        <v>17123.14</v>
      </c>
      <c r="CD6" s="180" t="str">
        <f t="shared" si="27"/>
        <v>B2C</v>
      </c>
      <c r="CE6" s="288">
        <v>2</v>
      </c>
      <c r="CF6" s="184">
        <v>19382.240000000002</v>
      </c>
      <c r="CG6" s="180" t="str">
        <f t="shared" si="28"/>
        <v>B3C</v>
      </c>
      <c r="CH6" s="288">
        <v>2</v>
      </c>
      <c r="CI6" s="184">
        <v>21372.42</v>
      </c>
      <c r="CJ6" s="180" t="str">
        <f t="shared" si="29"/>
        <v>B4C</v>
      </c>
      <c r="CK6" s="288">
        <v>2</v>
      </c>
      <c r="CL6" s="183">
        <v>21372.42</v>
      </c>
      <c r="CM6" s="180" t="str">
        <f t="shared" si="30"/>
        <v>B1D</v>
      </c>
      <c r="CN6" s="288">
        <v>2</v>
      </c>
      <c r="CO6" s="184">
        <v>17701.5</v>
      </c>
      <c r="CP6" s="180" t="str">
        <f t="shared" si="31"/>
        <v>B2D</v>
      </c>
      <c r="CQ6" s="288">
        <v>2</v>
      </c>
      <c r="CR6" s="184">
        <v>20201.5</v>
      </c>
      <c r="CS6" s="180" t="str">
        <f t="shared" si="32"/>
        <v>B3D</v>
      </c>
      <c r="CT6" s="288">
        <v>2</v>
      </c>
      <c r="CU6" s="184">
        <v>21368</v>
      </c>
      <c r="CV6" s="180" t="str">
        <f t="shared" si="33"/>
        <v>B4D</v>
      </c>
      <c r="CW6" s="288">
        <v>2</v>
      </c>
      <c r="CX6" s="183">
        <v>22534.5</v>
      </c>
      <c r="CY6" s="16"/>
    </row>
    <row r="7" spans="1:103" x14ac:dyDescent="0.2">
      <c r="A7" s="180" t="str">
        <f t="shared" si="0"/>
        <v>A11</v>
      </c>
      <c r="B7" s="181">
        <v>3</v>
      </c>
      <c r="C7" s="183">
        <v>23215</v>
      </c>
      <c r="D7" s="180" t="str">
        <f t="shared" si="1"/>
        <v>A12</v>
      </c>
      <c r="E7" s="181">
        <v>3</v>
      </c>
      <c r="F7" s="184">
        <v>25215</v>
      </c>
      <c r="G7" s="180" t="str">
        <f t="shared" si="2"/>
        <v>A21</v>
      </c>
      <c r="H7" s="181">
        <v>3</v>
      </c>
      <c r="I7" s="184">
        <v>27320</v>
      </c>
      <c r="J7" s="180" t="str">
        <f t="shared" si="3"/>
        <v>A22</v>
      </c>
      <c r="K7" s="181">
        <v>3</v>
      </c>
      <c r="L7" s="184">
        <v>30320</v>
      </c>
      <c r="M7" s="180" t="str">
        <f t="shared" si="4"/>
        <v>A23</v>
      </c>
      <c r="N7" s="181">
        <v>3</v>
      </c>
      <c r="O7" s="184">
        <v>33320</v>
      </c>
      <c r="P7" s="180" t="str">
        <f t="shared" si="5"/>
        <v>A31</v>
      </c>
      <c r="Q7" s="181">
        <v>3</v>
      </c>
      <c r="R7" s="184">
        <v>33940</v>
      </c>
      <c r="S7" s="180" t="str">
        <f t="shared" si="6"/>
        <v>A32</v>
      </c>
      <c r="T7" s="181">
        <v>3</v>
      </c>
      <c r="U7" s="184">
        <v>37440</v>
      </c>
      <c r="V7" s="180" t="str">
        <f t="shared" si="7"/>
        <v>A33</v>
      </c>
      <c r="W7" s="181">
        <v>3</v>
      </c>
      <c r="X7" s="184">
        <v>40440</v>
      </c>
      <c r="Y7" s="180" t="str">
        <f t="shared" si="8"/>
        <v>A41</v>
      </c>
      <c r="Z7" s="181">
        <v>3</v>
      </c>
      <c r="AA7" s="184">
        <v>41400</v>
      </c>
      <c r="AB7" s="180" t="str">
        <f t="shared" si="9"/>
        <v>A42</v>
      </c>
      <c r="AC7" s="181">
        <v>3</v>
      </c>
      <c r="AD7" s="184">
        <v>44400</v>
      </c>
      <c r="AE7" s="180" t="str">
        <f t="shared" si="10"/>
        <v>A43</v>
      </c>
      <c r="AF7" s="181">
        <v>3</v>
      </c>
      <c r="AG7" s="184">
        <v>47400</v>
      </c>
      <c r="AH7" s="180" t="str">
        <f t="shared" si="11"/>
        <v>A51</v>
      </c>
      <c r="AI7" s="181">
        <v>3</v>
      </c>
      <c r="AJ7" s="184">
        <v>49190</v>
      </c>
      <c r="AK7" s="180" t="str">
        <f t="shared" si="12"/>
        <v>A52</v>
      </c>
      <c r="AL7" s="181">
        <v>3</v>
      </c>
      <c r="AM7" s="184">
        <v>52190</v>
      </c>
      <c r="AN7" s="180" t="str">
        <f t="shared" si="13"/>
        <v>A53</v>
      </c>
      <c r="AO7" s="181">
        <v>3</v>
      </c>
      <c r="AP7" s="184">
        <v>55190</v>
      </c>
      <c r="AQ7" s="180" t="str">
        <f t="shared" si="14"/>
        <v>BB1</v>
      </c>
      <c r="AR7" s="181">
        <v>3</v>
      </c>
      <c r="AS7" s="184">
        <v>17660</v>
      </c>
      <c r="AT7" s="180" t="str">
        <f t="shared" si="15"/>
        <v>BB2</v>
      </c>
      <c r="AU7" s="181">
        <v>3</v>
      </c>
      <c r="AV7" s="184">
        <v>19875.45</v>
      </c>
      <c r="AW7" s="180" t="str">
        <f t="shared" si="16"/>
        <v>BB3</v>
      </c>
      <c r="AX7" s="288">
        <v>3</v>
      </c>
      <c r="AY7" s="184">
        <v>21784</v>
      </c>
      <c r="AZ7" s="180" t="str">
        <f t="shared" si="17"/>
        <v>BB4</v>
      </c>
      <c r="BA7" s="288">
        <v>3</v>
      </c>
      <c r="BB7" s="184">
        <v>21755.59</v>
      </c>
      <c r="BC7" s="180" t="str">
        <f t="shared" si="18"/>
        <v>B1A</v>
      </c>
      <c r="BD7" s="288">
        <v>3</v>
      </c>
      <c r="BE7" s="184">
        <v>17660</v>
      </c>
      <c r="BF7" s="180" t="str">
        <f t="shared" si="19"/>
        <v>B2A</v>
      </c>
      <c r="BG7" s="288">
        <v>3</v>
      </c>
      <c r="BH7" s="184">
        <v>20520.5</v>
      </c>
      <c r="BI7" s="180" t="str">
        <f t="shared" si="20"/>
        <v>B3A</v>
      </c>
      <c r="BJ7" s="288">
        <v>3</v>
      </c>
      <c r="BK7" s="184">
        <v>22347.88</v>
      </c>
      <c r="BL7" s="180" t="str">
        <f t="shared" si="21"/>
        <v>B4A</v>
      </c>
      <c r="BM7" s="288">
        <v>3</v>
      </c>
      <c r="BN7" s="184">
        <v>22763.43</v>
      </c>
      <c r="BO7" s="180" t="str">
        <f t="shared" si="22"/>
        <v>B1B</v>
      </c>
      <c r="BP7" s="288">
        <v>3</v>
      </c>
      <c r="BQ7" s="184">
        <v>18424.5</v>
      </c>
      <c r="BR7" s="180" t="str">
        <f t="shared" si="23"/>
        <v>B2B</v>
      </c>
      <c r="BS7" s="288">
        <v>3</v>
      </c>
      <c r="BT7" s="184">
        <v>21424.5</v>
      </c>
      <c r="BU7" s="180" t="str">
        <f t="shared" si="24"/>
        <v>B3B</v>
      </c>
      <c r="BV7" s="288">
        <v>3</v>
      </c>
      <c r="BW7" s="184">
        <v>24424.5</v>
      </c>
      <c r="BX7" s="180" t="str">
        <f t="shared" si="25"/>
        <v>B4B</v>
      </c>
      <c r="BY7" s="288">
        <v>3</v>
      </c>
      <c r="BZ7" s="184">
        <v>26038.5</v>
      </c>
      <c r="CA7" s="180" t="str">
        <f t="shared" si="26"/>
        <v>B1C</v>
      </c>
      <c r="CB7" s="288">
        <v>3</v>
      </c>
      <c r="CC7" s="184">
        <v>17660</v>
      </c>
      <c r="CD7" s="180" t="str">
        <f t="shared" si="27"/>
        <v>B2C</v>
      </c>
      <c r="CE7" s="288">
        <v>3</v>
      </c>
      <c r="CF7" s="184">
        <v>19875.45</v>
      </c>
      <c r="CG7" s="180" t="str">
        <f t="shared" si="28"/>
        <v>B3C</v>
      </c>
      <c r="CH7" s="288">
        <v>3</v>
      </c>
      <c r="CI7" s="184">
        <v>21784</v>
      </c>
      <c r="CJ7" s="180" t="str">
        <f t="shared" si="29"/>
        <v>B4C</v>
      </c>
      <c r="CK7" s="288">
        <v>3</v>
      </c>
      <c r="CL7" s="183">
        <v>21755.59</v>
      </c>
      <c r="CM7" s="180" t="str">
        <f t="shared" si="30"/>
        <v>B1D</v>
      </c>
      <c r="CN7" s="288">
        <v>3</v>
      </c>
      <c r="CO7" s="184">
        <v>17954.5</v>
      </c>
      <c r="CP7" s="180" t="str">
        <f t="shared" si="31"/>
        <v>B2D</v>
      </c>
      <c r="CQ7" s="288">
        <v>3</v>
      </c>
      <c r="CR7" s="184">
        <v>20454.5</v>
      </c>
      <c r="CS7" s="180" t="str">
        <f t="shared" si="32"/>
        <v>B3D</v>
      </c>
      <c r="CT7" s="288">
        <v>3</v>
      </c>
      <c r="CU7" s="184">
        <v>21804.5</v>
      </c>
      <c r="CV7" s="180" t="str">
        <f t="shared" si="33"/>
        <v>B4D</v>
      </c>
      <c r="CW7" s="288">
        <v>3</v>
      </c>
      <c r="CX7" s="183">
        <v>23154.5</v>
      </c>
      <c r="CY7" s="16"/>
    </row>
    <row r="8" spans="1:103" x14ac:dyDescent="0.2">
      <c r="A8" s="180" t="str">
        <f t="shared" si="0"/>
        <v>A11</v>
      </c>
      <c r="B8" s="181">
        <v>4</v>
      </c>
      <c r="C8" s="183">
        <v>23660</v>
      </c>
      <c r="D8" s="180" t="str">
        <f t="shared" si="1"/>
        <v>A12</v>
      </c>
      <c r="E8" s="181">
        <v>4</v>
      </c>
      <c r="F8" s="184">
        <v>25660</v>
      </c>
      <c r="G8" s="180" t="str">
        <f t="shared" si="2"/>
        <v>A21</v>
      </c>
      <c r="H8" s="181">
        <v>4</v>
      </c>
      <c r="I8" s="184">
        <v>27800</v>
      </c>
      <c r="J8" s="180" t="str">
        <f t="shared" si="3"/>
        <v>A22</v>
      </c>
      <c r="K8" s="181">
        <v>4</v>
      </c>
      <c r="L8" s="184">
        <v>30800</v>
      </c>
      <c r="M8" s="180" t="str">
        <f t="shared" si="4"/>
        <v>A23</v>
      </c>
      <c r="N8" s="181">
        <v>4</v>
      </c>
      <c r="O8" s="184">
        <v>33800</v>
      </c>
      <c r="P8" s="180" t="str">
        <f t="shared" si="5"/>
        <v>A31</v>
      </c>
      <c r="Q8" s="181">
        <v>4</v>
      </c>
      <c r="R8" s="184">
        <v>34460</v>
      </c>
      <c r="S8" s="180" t="str">
        <f t="shared" si="6"/>
        <v>A32</v>
      </c>
      <c r="T8" s="181">
        <v>4</v>
      </c>
      <c r="U8" s="184">
        <v>37960</v>
      </c>
      <c r="V8" s="180" t="str">
        <f t="shared" si="7"/>
        <v>A33</v>
      </c>
      <c r="W8" s="181">
        <v>4</v>
      </c>
      <c r="X8" s="184">
        <v>40960</v>
      </c>
      <c r="Y8" s="180" t="str">
        <f t="shared" si="8"/>
        <v>A41</v>
      </c>
      <c r="Z8" s="181">
        <v>4</v>
      </c>
      <c r="AA8" s="184">
        <v>42010</v>
      </c>
      <c r="AB8" s="180" t="str">
        <f t="shared" si="9"/>
        <v>A42</v>
      </c>
      <c r="AC8" s="181">
        <v>4</v>
      </c>
      <c r="AD8" s="184">
        <v>45010</v>
      </c>
      <c r="AE8" s="180" t="str">
        <f t="shared" si="10"/>
        <v>A43</v>
      </c>
      <c r="AF8" s="181">
        <v>4</v>
      </c>
      <c r="AG8" s="184">
        <v>48010</v>
      </c>
      <c r="AH8" s="180" t="str">
        <f t="shared" si="11"/>
        <v>A51</v>
      </c>
      <c r="AI8" s="181">
        <v>4</v>
      </c>
      <c r="AJ8" s="184">
        <v>49800</v>
      </c>
      <c r="AK8" s="180" t="str">
        <f t="shared" si="12"/>
        <v>A52</v>
      </c>
      <c r="AL8" s="181">
        <v>4</v>
      </c>
      <c r="AM8" s="184">
        <v>52800</v>
      </c>
      <c r="AN8" s="180" t="str">
        <f t="shared" si="13"/>
        <v>A53</v>
      </c>
      <c r="AO8" s="181">
        <v>4</v>
      </c>
      <c r="AP8" s="184">
        <v>55800</v>
      </c>
      <c r="AQ8" s="180" t="str">
        <f t="shared" si="14"/>
        <v>BB1</v>
      </c>
      <c r="AR8" s="181">
        <v>4</v>
      </c>
      <c r="AS8" s="184">
        <v>17660</v>
      </c>
      <c r="AT8" s="180" t="str">
        <f t="shared" si="15"/>
        <v>BB2</v>
      </c>
      <c r="AU8" s="181">
        <v>4</v>
      </c>
      <c r="AV8" s="184">
        <v>19875.45</v>
      </c>
      <c r="AW8" s="180" t="str">
        <f t="shared" si="16"/>
        <v>BB3</v>
      </c>
      <c r="AX8" s="288">
        <v>4</v>
      </c>
      <c r="AY8" s="184">
        <v>21784</v>
      </c>
      <c r="AZ8" s="180" t="str">
        <f t="shared" si="17"/>
        <v>BB4</v>
      </c>
      <c r="BA8" s="288">
        <v>4</v>
      </c>
      <c r="BB8" s="184">
        <v>21755.59</v>
      </c>
      <c r="BC8" s="180" t="str">
        <f t="shared" si="18"/>
        <v>B1A</v>
      </c>
      <c r="BD8" s="288">
        <v>4</v>
      </c>
      <c r="BE8" s="184">
        <v>17660</v>
      </c>
      <c r="BF8" s="180" t="str">
        <f t="shared" si="19"/>
        <v>B2A</v>
      </c>
      <c r="BG8" s="288">
        <v>4</v>
      </c>
      <c r="BH8" s="184">
        <v>20520.5</v>
      </c>
      <c r="BI8" s="180" t="str">
        <f t="shared" si="20"/>
        <v>B3A</v>
      </c>
      <c r="BJ8" s="288">
        <v>4</v>
      </c>
      <c r="BK8" s="184">
        <v>22347.88</v>
      </c>
      <c r="BL8" s="180" t="str">
        <f t="shared" si="21"/>
        <v>B4A</v>
      </c>
      <c r="BM8" s="288">
        <v>4</v>
      </c>
      <c r="BN8" s="184">
        <v>22763.43</v>
      </c>
      <c r="BO8" s="180" t="str">
        <f t="shared" si="22"/>
        <v>B1B</v>
      </c>
      <c r="BP8" s="288">
        <v>4</v>
      </c>
      <c r="BQ8" s="184">
        <v>18424.5</v>
      </c>
      <c r="BR8" s="180" t="str">
        <f t="shared" si="23"/>
        <v>B2B</v>
      </c>
      <c r="BS8" s="288">
        <v>4</v>
      </c>
      <c r="BT8" s="184">
        <v>21424.5</v>
      </c>
      <c r="BU8" s="180" t="str">
        <f t="shared" si="24"/>
        <v>B3B</v>
      </c>
      <c r="BV8" s="288">
        <v>4</v>
      </c>
      <c r="BW8" s="184">
        <v>24424.5</v>
      </c>
      <c r="BX8" s="180" t="str">
        <f t="shared" si="25"/>
        <v>B4B</v>
      </c>
      <c r="BY8" s="288">
        <v>4</v>
      </c>
      <c r="BZ8" s="184">
        <v>26038.5</v>
      </c>
      <c r="CA8" s="180" t="str">
        <f t="shared" si="26"/>
        <v>B1C</v>
      </c>
      <c r="CB8" s="288">
        <v>4</v>
      </c>
      <c r="CC8" s="184">
        <v>17660</v>
      </c>
      <c r="CD8" s="180" t="str">
        <f t="shared" si="27"/>
        <v>B2C</v>
      </c>
      <c r="CE8" s="288">
        <v>4</v>
      </c>
      <c r="CF8" s="184">
        <v>19875.45</v>
      </c>
      <c r="CG8" s="180" t="str">
        <f t="shared" si="28"/>
        <v>B3C</v>
      </c>
      <c r="CH8" s="288">
        <v>4</v>
      </c>
      <c r="CI8" s="184">
        <v>21784</v>
      </c>
      <c r="CJ8" s="180" t="str">
        <f t="shared" si="29"/>
        <v>B4C</v>
      </c>
      <c r="CK8" s="288">
        <v>4</v>
      </c>
      <c r="CL8" s="183">
        <v>21755.59</v>
      </c>
      <c r="CM8" s="180" t="str">
        <f t="shared" si="30"/>
        <v>B1D</v>
      </c>
      <c r="CN8" s="288">
        <v>4</v>
      </c>
      <c r="CO8" s="184">
        <v>17954.5</v>
      </c>
      <c r="CP8" s="180" t="str">
        <f t="shared" si="31"/>
        <v>B2D</v>
      </c>
      <c r="CQ8" s="288">
        <v>4</v>
      </c>
      <c r="CR8" s="184">
        <v>20454.5</v>
      </c>
      <c r="CS8" s="180" t="str">
        <f t="shared" si="32"/>
        <v>B3D</v>
      </c>
      <c r="CT8" s="288">
        <v>4</v>
      </c>
      <c r="CU8" s="184">
        <v>21804.5</v>
      </c>
      <c r="CV8" s="180" t="str">
        <f t="shared" si="33"/>
        <v>B4D</v>
      </c>
      <c r="CW8" s="288">
        <v>4</v>
      </c>
      <c r="CX8" s="183">
        <v>23154.5</v>
      </c>
      <c r="CY8" s="16"/>
    </row>
    <row r="9" spans="1:103" x14ac:dyDescent="0.2">
      <c r="A9" s="180" t="str">
        <f t="shared" si="0"/>
        <v>A11</v>
      </c>
      <c r="B9" s="181">
        <v>5</v>
      </c>
      <c r="C9" s="183">
        <v>24105</v>
      </c>
      <c r="D9" s="180" t="str">
        <f t="shared" si="1"/>
        <v>A12</v>
      </c>
      <c r="E9" s="181">
        <v>5</v>
      </c>
      <c r="F9" s="184">
        <v>26105</v>
      </c>
      <c r="G9" s="180" t="str">
        <f t="shared" si="2"/>
        <v>A21</v>
      </c>
      <c r="H9" s="181">
        <v>5</v>
      </c>
      <c r="I9" s="184">
        <v>28280</v>
      </c>
      <c r="J9" s="180" t="str">
        <f t="shared" si="3"/>
        <v>A22</v>
      </c>
      <c r="K9" s="181">
        <v>5</v>
      </c>
      <c r="L9" s="184">
        <v>31280</v>
      </c>
      <c r="M9" s="180" t="str">
        <f t="shared" si="4"/>
        <v>A23</v>
      </c>
      <c r="N9" s="181">
        <v>5</v>
      </c>
      <c r="O9" s="184">
        <v>34280</v>
      </c>
      <c r="P9" s="180" t="str">
        <f t="shared" si="5"/>
        <v>A31</v>
      </c>
      <c r="Q9" s="181">
        <v>5</v>
      </c>
      <c r="R9" s="184">
        <v>34980</v>
      </c>
      <c r="S9" s="180" t="str">
        <f t="shared" si="6"/>
        <v>A32</v>
      </c>
      <c r="T9" s="181">
        <v>5</v>
      </c>
      <c r="U9" s="184">
        <v>38480</v>
      </c>
      <c r="V9" s="180" t="str">
        <f t="shared" si="7"/>
        <v>A33</v>
      </c>
      <c r="W9" s="181">
        <v>5</v>
      </c>
      <c r="X9" s="184">
        <v>41480</v>
      </c>
      <c r="Y9" s="180" t="str">
        <f t="shared" si="8"/>
        <v>A41</v>
      </c>
      <c r="Z9" s="181">
        <v>5</v>
      </c>
      <c r="AA9" s="184">
        <v>42620</v>
      </c>
      <c r="AB9" s="180" t="str">
        <f t="shared" si="9"/>
        <v>A42</v>
      </c>
      <c r="AC9" s="181">
        <v>5</v>
      </c>
      <c r="AD9" s="184">
        <v>45620</v>
      </c>
      <c r="AE9" s="180" t="str">
        <f t="shared" si="10"/>
        <v>A43</v>
      </c>
      <c r="AF9" s="181">
        <v>5</v>
      </c>
      <c r="AG9" s="184">
        <v>48620</v>
      </c>
      <c r="AH9" s="180" t="str">
        <f t="shared" si="11"/>
        <v>A51</v>
      </c>
      <c r="AI9" s="181">
        <v>5</v>
      </c>
      <c r="AJ9" s="184">
        <v>50410</v>
      </c>
      <c r="AK9" s="180" t="str">
        <f t="shared" si="12"/>
        <v>A52</v>
      </c>
      <c r="AL9" s="181">
        <v>5</v>
      </c>
      <c r="AM9" s="184">
        <v>53410</v>
      </c>
      <c r="AN9" s="180" t="str">
        <f t="shared" si="13"/>
        <v>A53</v>
      </c>
      <c r="AO9" s="181">
        <v>5</v>
      </c>
      <c r="AP9" s="184">
        <v>56410</v>
      </c>
      <c r="AQ9" s="180" t="str">
        <f t="shared" si="14"/>
        <v>BB1</v>
      </c>
      <c r="AR9" s="181">
        <v>5</v>
      </c>
      <c r="AS9" s="184">
        <v>18273.439999999999</v>
      </c>
      <c r="AT9" s="180" t="str">
        <f t="shared" si="15"/>
        <v>BB2</v>
      </c>
      <c r="AU9" s="181">
        <v>5</v>
      </c>
      <c r="AV9" s="184">
        <v>20344.689999999999</v>
      </c>
      <c r="AW9" s="180" t="str">
        <f t="shared" si="16"/>
        <v>BB3</v>
      </c>
      <c r="AX9" s="288">
        <v>5</v>
      </c>
      <c r="AY9" s="184">
        <v>22397.439999999999</v>
      </c>
      <c r="AZ9" s="180" t="str">
        <f t="shared" si="17"/>
        <v>BB4</v>
      </c>
      <c r="BA9" s="288">
        <v>5</v>
      </c>
      <c r="BB9" s="184">
        <v>22604.65</v>
      </c>
      <c r="BC9" s="180" t="str">
        <f t="shared" si="18"/>
        <v>B1A</v>
      </c>
      <c r="BD9" s="288">
        <v>5</v>
      </c>
      <c r="BE9" s="184">
        <v>18273.439999999999</v>
      </c>
      <c r="BF9" s="180" t="str">
        <f t="shared" si="19"/>
        <v>B2A</v>
      </c>
      <c r="BG9" s="288">
        <v>5</v>
      </c>
      <c r="BH9" s="184">
        <v>21115.5</v>
      </c>
      <c r="BI9" s="180" t="str">
        <f t="shared" si="20"/>
        <v>B3A</v>
      </c>
      <c r="BJ9" s="288">
        <v>5</v>
      </c>
      <c r="BK9" s="184">
        <v>22640.47</v>
      </c>
      <c r="BL9" s="180" t="str">
        <f t="shared" si="21"/>
        <v>B4A</v>
      </c>
      <c r="BM9" s="288">
        <v>5</v>
      </c>
      <c r="BN9" s="184">
        <v>23056.02</v>
      </c>
      <c r="BO9" s="180" t="str">
        <f t="shared" si="22"/>
        <v>B1B</v>
      </c>
      <c r="BP9" s="288">
        <v>5</v>
      </c>
      <c r="BQ9" s="184">
        <v>18717.5</v>
      </c>
      <c r="BR9" s="180" t="str">
        <f t="shared" si="23"/>
        <v>B2B</v>
      </c>
      <c r="BS9" s="288">
        <v>5</v>
      </c>
      <c r="BT9" s="184">
        <v>21717.5</v>
      </c>
      <c r="BU9" s="180" t="str">
        <f t="shared" si="24"/>
        <v>B3B</v>
      </c>
      <c r="BV9" s="288">
        <v>5</v>
      </c>
      <c r="BW9" s="184">
        <v>24717.5</v>
      </c>
      <c r="BX9" s="180" t="str">
        <f t="shared" si="25"/>
        <v>B4B</v>
      </c>
      <c r="BY9" s="288">
        <v>5</v>
      </c>
      <c r="BZ9" s="184">
        <v>26331.5</v>
      </c>
      <c r="CA9" s="180" t="str">
        <f t="shared" si="26"/>
        <v>B1C</v>
      </c>
      <c r="CB9" s="288">
        <v>5</v>
      </c>
      <c r="CC9" s="184">
        <v>18273.439999999999</v>
      </c>
      <c r="CD9" s="180" t="str">
        <f t="shared" si="27"/>
        <v>B2C</v>
      </c>
      <c r="CE9" s="288">
        <v>5</v>
      </c>
      <c r="CF9" s="184">
        <v>20344.689999999999</v>
      </c>
      <c r="CG9" s="180" t="str">
        <f t="shared" si="28"/>
        <v>B3C</v>
      </c>
      <c r="CH9" s="288">
        <v>5</v>
      </c>
      <c r="CI9" s="184">
        <v>22397.439999999999</v>
      </c>
      <c r="CJ9" s="180" t="str">
        <f t="shared" si="29"/>
        <v>B4C</v>
      </c>
      <c r="CK9" s="288">
        <v>5</v>
      </c>
      <c r="CL9" s="183">
        <v>22604.65</v>
      </c>
      <c r="CM9" s="180" t="str">
        <f t="shared" si="30"/>
        <v>B1D</v>
      </c>
      <c r="CN9" s="288">
        <v>5</v>
      </c>
      <c r="CO9" s="184">
        <v>18273.439999999999</v>
      </c>
      <c r="CP9" s="180" t="str">
        <f t="shared" si="31"/>
        <v>B2D</v>
      </c>
      <c r="CQ9" s="288">
        <v>5</v>
      </c>
      <c r="CR9" s="184">
        <v>20747.5</v>
      </c>
      <c r="CS9" s="180" t="str">
        <f t="shared" si="32"/>
        <v>B3D</v>
      </c>
      <c r="CT9" s="288">
        <v>5</v>
      </c>
      <c r="CU9" s="184">
        <v>22397.439999999999</v>
      </c>
      <c r="CV9" s="180" t="str">
        <f t="shared" si="33"/>
        <v>B4D</v>
      </c>
      <c r="CW9" s="288">
        <v>5</v>
      </c>
      <c r="CX9" s="183">
        <v>23947.5</v>
      </c>
      <c r="CY9" s="16"/>
    </row>
    <row r="10" spans="1:103" x14ac:dyDescent="0.2">
      <c r="A10" s="180" t="str">
        <f t="shared" si="0"/>
        <v>A11</v>
      </c>
      <c r="B10" s="181">
        <v>6</v>
      </c>
      <c r="C10" s="183">
        <v>24550</v>
      </c>
      <c r="D10" s="180" t="str">
        <f t="shared" si="1"/>
        <v>A12</v>
      </c>
      <c r="E10" s="181">
        <v>6</v>
      </c>
      <c r="F10" s="184">
        <v>26550</v>
      </c>
      <c r="G10" s="180" t="str">
        <f t="shared" si="2"/>
        <v>A21</v>
      </c>
      <c r="H10" s="181">
        <v>6</v>
      </c>
      <c r="I10" s="184">
        <v>28760</v>
      </c>
      <c r="J10" s="180" t="str">
        <f t="shared" si="3"/>
        <v>A22</v>
      </c>
      <c r="K10" s="181">
        <v>6</v>
      </c>
      <c r="L10" s="184">
        <v>31760</v>
      </c>
      <c r="M10" s="180" t="str">
        <f t="shared" si="4"/>
        <v>A23</v>
      </c>
      <c r="N10" s="181">
        <v>6</v>
      </c>
      <c r="O10" s="184">
        <v>34760</v>
      </c>
      <c r="P10" s="180" t="str">
        <f t="shared" si="5"/>
        <v>A31</v>
      </c>
      <c r="Q10" s="181">
        <v>6</v>
      </c>
      <c r="R10" s="184">
        <v>35500</v>
      </c>
      <c r="S10" s="180" t="str">
        <f t="shared" si="6"/>
        <v>A32</v>
      </c>
      <c r="T10" s="181">
        <v>6</v>
      </c>
      <c r="U10" s="184">
        <v>39000</v>
      </c>
      <c r="V10" s="180" t="str">
        <f t="shared" si="7"/>
        <v>A33</v>
      </c>
      <c r="W10" s="181">
        <v>6</v>
      </c>
      <c r="X10" s="184">
        <v>42000</v>
      </c>
      <c r="Y10" s="180" t="str">
        <f t="shared" si="8"/>
        <v>A41</v>
      </c>
      <c r="Z10" s="181">
        <v>6</v>
      </c>
      <c r="AA10" s="184">
        <v>43230</v>
      </c>
      <c r="AB10" s="180" t="str">
        <f t="shared" si="9"/>
        <v>A42</v>
      </c>
      <c r="AC10" s="181">
        <v>6</v>
      </c>
      <c r="AD10" s="184">
        <v>46230</v>
      </c>
      <c r="AE10" s="180" t="str">
        <f t="shared" si="10"/>
        <v>A43</v>
      </c>
      <c r="AF10" s="181">
        <v>6</v>
      </c>
      <c r="AG10" s="184">
        <v>49230</v>
      </c>
      <c r="AH10" s="180" t="str">
        <f t="shared" si="11"/>
        <v>A51</v>
      </c>
      <c r="AI10" s="181">
        <v>6</v>
      </c>
      <c r="AJ10" s="184">
        <v>51020</v>
      </c>
      <c r="AK10" s="180" t="str">
        <f t="shared" si="12"/>
        <v>A52</v>
      </c>
      <c r="AL10" s="181">
        <v>6</v>
      </c>
      <c r="AM10" s="184">
        <v>54020</v>
      </c>
      <c r="AN10" s="180" t="str">
        <f t="shared" si="13"/>
        <v>A53</v>
      </c>
      <c r="AO10" s="181">
        <v>6</v>
      </c>
      <c r="AP10" s="184">
        <v>57020</v>
      </c>
      <c r="AQ10" s="180" t="str">
        <f t="shared" si="14"/>
        <v>BB1</v>
      </c>
      <c r="AR10" s="181">
        <v>6</v>
      </c>
      <c r="AS10" s="184">
        <v>18273.439999999999</v>
      </c>
      <c r="AT10" s="180" t="str">
        <f t="shared" si="15"/>
        <v>BB2</v>
      </c>
      <c r="AU10" s="181">
        <v>6</v>
      </c>
      <c r="AV10" s="184">
        <v>20344.689999999999</v>
      </c>
      <c r="AW10" s="180" t="str">
        <f t="shared" si="16"/>
        <v>BB3</v>
      </c>
      <c r="AX10" s="288">
        <v>6</v>
      </c>
      <c r="AY10" s="184">
        <v>22397.439999999999</v>
      </c>
      <c r="AZ10" s="180" t="str">
        <f t="shared" si="17"/>
        <v>BB4</v>
      </c>
      <c r="BA10" s="288">
        <v>6</v>
      </c>
      <c r="BB10" s="184">
        <v>22604.65</v>
      </c>
      <c r="BC10" s="180" t="str">
        <f t="shared" si="18"/>
        <v>B1A</v>
      </c>
      <c r="BD10" s="288">
        <v>6</v>
      </c>
      <c r="BE10" s="184">
        <v>18273.439999999999</v>
      </c>
      <c r="BF10" s="180" t="str">
        <f t="shared" si="19"/>
        <v>B2A</v>
      </c>
      <c r="BG10" s="288">
        <v>6</v>
      </c>
      <c r="BH10" s="184">
        <v>21115.5</v>
      </c>
      <c r="BI10" s="180" t="str">
        <f t="shared" si="20"/>
        <v>B3A</v>
      </c>
      <c r="BJ10" s="288">
        <v>6</v>
      </c>
      <c r="BK10" s="184">
        <v>22640.47</v>
      </c>
      <c r="BL10" s="180" t="str">
        <f t="shared" si="21"/>
        <v>B4A</v>
      </c>
      <c r="BM10" s="288">
        <v>6</v>
      </c>
      <c r="BN10" s="184">
        <v>23056.02</v>
      </c>
      <c r="BO10" s="180" t="str">
        <f t="shared" si="22"/>
        <v>B1B</v>
      </c>
      <c r="BP10" s="288">
        <v>6</v>
      </c>
      <c r="BQ10" s="184">
        <v>18717.5</v>
      </c>
      <c r="BR10" s="180" t="str">
        <f t="shared" si="23"/>
        <v>B2B</v>
      </c>
      <c r="BS10" s="288">
        <v>6</v>
      </c>
      <c r="BT10" s="184">
        <v>21717.5</v>
      </c>
      <c r="BU10" s="180" t="str">
        <f t="shared" si="24"/>
        <v>B3B</v>
      </c>
      <c r="BV10" s="288">
        <v>6</v>
      </c>
      <c r="BW10" s="184">
        <v>24717.5</v>
      </c>
      <c r="BX10" s="180" t="str">
        <f t="shared" si="25"/>
        <v>B4B</v>
      </c>
      <c r="BY10" s="288">
        <v>6</v>
      </c>
      <c r="BZ10" s="184">
        <v>26331.5</v>
      </c>
      <c r="CA10" s="180" t="str">
        <f t="shared" si="26"/>
        <v>B1C</v>
      </c>
      <c r="CB10" s="288">
        <v>6</v>
      </c>
      <c r="CC10" s="184">
        <v>18273.439999999999</v>
      </c>
      <c r="CD10" s="180" t="str">
        <f t="shared" si="27"/>
        <v>B2C</v>
      </c>
      <c r="CE10" s="288">
        <v>6</v>
      </c>
      <c r="CF10" s="184">
        <v>20344.689999999999</v>
      </c>
      <c r="CG10" s="180" t="str">
        <f t="shared" si="28"/>
        <v>B3C</v>
      </c>
      <c r="CH10" s="288">
        <v>6</v>
      </c>
      <c r="CI10" s="184">
        <v>22397.439999999999</v>
      </c>
      <c r="CJ10" s="180" t="str">
        <f t="shared" si="29"/>
        <v>B4C</v>
      </c>
      <c r="CK10" s="288">
        <v>6</v>
      </c>
      <c r="CL10" s="183">
        <v>22604.65</v>
      </c>
      <c r="CM10" s="180" t="str">
        <f t="shared" si="30"/>
        <v>B1D</v>
      </c>
      <c r="CN10" s="288">
        <v>6</v>
      </c>
      <c r="CO10" s="184">
        <v>18273.439999999999</v>
      </c>
      <c r="CP10" s="180" t="str">
        <f t="shared" si="31"/>
        <v>B2D</v>
      </c>
      <c r="CQ10" s="288">
        <v>6</v>
      </c>
      <c r="CR10" s="184">
        <v>20747.5</v>
      </c>
      <c r="CS10" s="180" t="str">
        <f t="shared" si="32"/>
        <v>B3D</v>
      </c>
      <c r="CT10" s="288">
        <v>6</v>
      </c>
      <c r="CU10" s="184">
        <v>22397.439999999999</v>
      </c>
      <c r="CV10" s="180" t="str">
        <f t="shared" si="33"/>
        <v>B4D</v>
      </c>
      <c r="CW10" s="288">
        <v>6</v>
      </c>
      <c r="CX10" s="183">
        <v>23947.5</v>
      </c>
      <c r="CY10" s="16"/>
    </row>
    <row r="11" spans="1:103" x14ac:dyDescent="0.2">
      <c r="A11" s="180" t="str">
        <f t="shared" si="0"/>
        <v>A11</v>
      </c>
      <c r="B11" s="181">
        <v>7</v>
      </c>
      <c r="C11" s="183">
        <v>24995</v>
      </c>
      <c r="D11" s="180" t="str">
        <f t="shared" si="1"/>
        <v>A12</v>
      </c>
      <c r="E11" s="181">
        <v>7</v>
      </c>
      <c r="F11" s="184">
        <v>26995</v>
      </c>
      <c r="G11" s="180" t="str">
        <f t="shared" si="2"/>
        <v>A21</v>
      </c>
      <c r="H11" s="181">
        <v>7</v>
      </c>
      <c r="I11" s="184">
        <v>29240</v>
      </c>
      <c r="J11" s="180" t="str">
        <f t="shared" si="3"/>
        <v>A22</v>
      </c>
      <c r="K11" s="181">
        <v>7</v>
      </c>
      <c r="L11" s="184">
        <v>32240</v>
      </c>
      <c r="M11" s="180" t="str">
        <f t="shared" si="4"/>
        <v>A23</v>
      </c>
      <c r="N11" s="181">
        <v>7</v>
      </c>
      <c r="O11" s="184">
        <v>35240</v>
      </c>
      <c r="P11" s="180" t="str">
        <f t="shared" si="5"/>
        <v>A31</v>
      </c>
      <c r="Q11" s="181">
        <v>7</v>
      </c>
      <c r="R11" s="184">
        <v>36020</v>
      </c>
      <c r="S11" s="180" t="str">
        <f t="shared" si="6"/>
        <v>A32</v>
      </c>
      <c r="T11" s="181">
        <v>7</v>
      </c>
      <c r="U11" s="184">
        <v>39520</v>
      </c>
      <c r="V11" s="180" t="str">
        <f t="shared" si="7"/>
        <v>A33</v>
      </c>
      <c r="W11" s="181">
        <v>7</v>
      </c>
      <c r="X11" s="184">
        <v>42520</v>
      </c>
      <c r="Y11" s="180" t="str">
        <f t="shared" si="8"/>
        <v>A41</v>
      </c>
      <c r="Z11" s="181">
        <v>7</v>
      </c>
      <c r="AA11" s="184">
        <v>43840</v>
      </c>
      <c r="AB11" s="180" t="str">
        <f t="shared" si="9"/>
        <v>A42</v>
      </c>
      <c r="AC11" s="181">
        <v>7</v>
      </c>
      <c r="AD11" s="184">
        <v>46840</v>
      </c>
      <c r="AE11" s="180" t="str">
        <f t="shared" si="10"/>
        <v>A43</v>
      </c>
      <c r="AF11" s="181">
        <v>7</v>
      </c>
      <c r="AG11" s="184">
        <v>49840</v>
      </c>
      <c r="AH11" s="180" t="str">
        <f t="shared" si="11"/>
        <v>A51</v>
      </c>
      <c r="AI11" s="181">
        <v>7</v>
      </c>
      <c r="AJ11" s="184">
        <v>51630</v>
      </c>
      <c r="AK11" s="180" t="str">
        <f t="shared" si="12"/>
        <v>A52</v>
      </c>
      <c r="AL11" s="181">
        <v>7</v>
      </c>
      <c r="AM11" s="184">
        <v>54630</v>
      </c>
      <c r="AN11" s="180" t="str">
        <f t="shared" si="13"/>
        <v>A53</v>
      </c>
      <c r="AO11" s="181">
        <v>7</v>
      </c>
      <c r="AP11" s="184">
        <v>57630</v>
      </c>
      <c r="AQ11" s="180" t="str">
        <f t="shared" si="14"/>
        <v>BB1</v>
      </c>
      <c r="AR11" s="181">
        <v>7</v>
      </c>
      <c r="AS11" s="184">
        <v>18886.88</v>
      </c>
      <c r="AT11" s="180" t="str">
        <f t="shared" si="15"/>
        <v>BB2</v>
      </c>
      <c r="AU11" s="181">
        <v>7</v>
      </c>
      <c r="AV11" s="184">
        <v>20948.88</v>
      </c>
      <c r="AW11" s="180" t="str">
        <f t="shared" si="16"/>
        <v>BB3</v>
      </c>
      <c r="AX11" s="288">
        <v>7</v>
      </c>
      <c r="AY11" s="184">
        <v>23010.880000000001</v>
      </c>
      <c r="AZ11" s="180" t="str">
        <f t="shared" si="17"/>
        <v>BB4</v>
      </c>
      <c r="BA11" s="288">
        <v>7</v>
      </c>
      <c r="BB11" s="184">
        <v>23453.7</v>
      </c>
      <c r="BC11" s="180" t="str">
        <f t="shared" si="18"/>
        <v>B1A</v>
      </c>
      <c r="BD11" s="288">
        <v>7</v>
      </c>
      <c r="BE11" s="184">
        <v>18886.88</v>
      </c>
      <c r="BF11" s="180" t="str">
        <f t="shared" si="19"/>
        <v>B2A</v>
      </c>
      <c r="BG11" s="288">
        <v>7</v>
      </c>
      <c r="BH11" s="184">
        <v>21710.5</v>
      </c>
      <c r="BI11" s="180" t="str">
        <f t="shared" si="20"/>
        <v>B3A</v>
      </c>
      <c r="BJ11" s="288">
        <v>7</v>
      </c>
      <c r="BK11" s="184">
        <v>23010.880000000001</v>
      </c>
      <c r="BL11" s="180" t="str">
        <f t="shared" si="21"/>
        <v>B4A</v>
      </c>
      <c r="BM11" s="288">
        <v>7</v>
      </c>
      <c r="BN11" s="184">
        <v>23453.7</v>
      </c>
      <c r="BO11" s="180" t="str">
        <f t="shared" si="22"/>
        <v>B1B</v>
      </c>
      <c r="BP11" s="288">
        <v>7</v>
      </c>
      <c r="BQ11" s="184">
        <v>19108.5</v>
      </c>
      <c r="BR11" s="180" t="str">
        <f t="shared" si="23"/>
        <v>B2B</v>
      </c>
      <c r="BS11" s="288">
        <v>7</v>
      </c>
      <c r="BT11" s="184">
        <v>22108.5</v>
      </c>
      <c r="BU11" s="180" t="str">
        <f t="shared" si="24"/>
        <v>B3B</v>
      </c>
      <c r="BV11" s="288">
        <v>7</v>
      </c>
      <c r="BW11" s="184">
        <v>25108.5</v>
      </c>
      <c r="BX11" s="180" t="str">
        <f t="shared" si="25"/>
        <v>B4B</v>
      </c>
      <c r="BY11" s="288">
        <v>7</v>
      </c>
      <c r="BZ11" s="184">
        <v>26624.5</v>
      </c>
      <c r="CA11" s="180" t="str">
        <f t="shared" si="26"/>
        <v>B1C</v>
      </c>
      <c r="CB11" s="288">
        <v>7</v>
      </c>
      <c r="CC11" s="184">
        <v>18886.88</v>
      </c>
      <c r="CD11" s="180" t="str">
        <f t="shared" si="27"/>
        <v>B2C</v>
      </c>
      <c r="CE11" s="288">
        <v>7</v>
      </c>
      <c r="CF11" s="184">
        <v>20948.88</v>
      </c>
      <c r="CG11" s="180" t="str">
        <f t="shared" si="28"/>
        <v>B3C</v>
      </c>
      <c r="CH11" s="288">
        <v>7</v>
      </c>
      <c r="CI11" s="184">
        <v>23010.880000000001</v>
      </c>
      <c r="CJ11" s="180" t="str">
        <f t="shared" si="29"/>
        <v>B4C</v>
      </c>
      <c r="CK11" s="288">
        <v>7</v>
      </c>
      <c r="CL11" s="183">
        <v>23453.7</v>
      </c>
      <c r="CM11" s="180" t="str">
        <f t="shared" si="30"/>
        <v>B1D</v>
      </c>
      <c r="CN11" s="288">
        <v>7</v>
      </c>
      <c r="CO11" s="184">
        <v>18886.88</v>
      </c>
      <c r="CP11" s="180" t="str">
        <f t="shared" si="31"/>
        <v>B2D</v>
      </c>
      <c r="CQ11" s="288">
        <v>7</v>
      </c>
      <c r="CR11" s="184">
        <v>21138.5</v>
      </c>
      <c r="CS11" s="180" t="str">
        <f t="shared" si="32"/>
        <v>B3D</v>
      </c>
      <c r="CT11" s="288">
        <v>7</v>
      </c>
      <c r="CU11" s="184">
        <v>23010.880000000001</v>
      </c>
      <c r="CV11" s="180" t="str">
        <f t="shared" si="33"/>
        <v>B4D</v>
      </c>
      <c r="CW11" s="288">
        <v>7</v>
      </c>
      <c r="CX11" s="183">
        <v>24740.5</v>
      </c>
      <c r="CY11" s="16"/>
    </row>
    <row r="12" spans="1:103" x14ac:dyDescent="0.2">
      <c r="A12" s="180" t="str">
        <f t="shared" si="0"/>
        <v>A11</v>
      </c>
      <c r="B12" s="181">
        <v>8</v>
      </c>
      <c r="C12" s="183">
        <v>25440</v>
      </c>
      <c r="D12" s="180" t="str">
        <f t="shared" si="1"/>
        <v>A12</v>
      </c>
      <c r="E12" s="181">
        <v>8</v>
      </c>
      <c r="F12" s="184">
        <v>27440</v>
      </c>
      <c r="G12" s="180" t="str">
        <f t="shared" si="2"/>
        <v>A21</v>
      </c>
      <c r="H12" s="181">
        <v>8</v>
      </c>
      <c r="I12" s="184">
        <v>29720</v>
      </c>
      <c r="J12" s="180" t="str">
        <f t="shared" si="3"/>
        <v>A22</v>
      </c>
      <c r="K12" s="181">
        <v>8</v>
      </c>
      <c r="L12" s="184">
        <v>32720</v>
      </c>
      <c r="M12" s="180" t="str">
        <f t="shared" si="4"/>
        <v>A23</v>
      </c>
      <c r="N12" s="181">
        <v>8</v>
      </c>
      <c r="O12" s="184">
        <v>35720</v>
      </c>
      <c r="P12" s="180" t="str">
        <f t="shared" si="5"/>
        <v>A31</v>
      </c>
      <c r="Q12" s="181">
        <v>8</v>
      </c>
      <c r="R12" s="184">
        <v>36540</v>
      </c>
      <c r="S12" s="180" t="str">
        <f t="shared" si="6"/>
        <v>A32</v>
      </c>
      <c r="T12" s="181">
        <v>8</v>
      </c>
      <c r="U12" s="184">
        <v>40040</v>
      </c>
      <c r="V12" s="180" t="str">
        <f t="shared" si="7"/>
        <v>A33</v>
      </c>
      <c r="W12" s="181">
        <v>8</v>
      </c>
      <c r="X12" s="184">
        <v>43040</v>
      </c>
      <c r="Y12" s="180" t="str">
        <f t="shared" si="8"/>
        <v>A41</v>
      </c>
      <c r="Z12" s="181">
        <v>8</v>
      </c>
      <c r="AA12" s="184">
        <v>44450</v>
      </c>
      <c r="AB12" s="180" t="str">
        <f t="shared" si="9"/>
        <v>A42</v>
      </c>
      <c r="AC12" s="181">
        <v>8</v>
      </c>
      <c r="AD12" s="184">
        <v>47450</v>
      </c>
      <c r="AE12" s="180" t="str">
        <f t="shared" si="10"/>
        <v>A43</v>
      </c>
      <c r="AF12" s="181">
        <v>8</v>
      </c>
      <c r="AG12" s="184">
        <v>50450</v>
      </c>
      <c r="AH12" s="180" t="str">
        <f t="shared" si="11"/>
        <v>A51</v>
      </c>
      <c r="AI12" s="181">
        <v>8</v>
      </c>
      <c r="AJ12" s="184">
        <v>52240</v>
      </c>
      <c r="AK12" s="180" t="str">
        <f t="shared" si="12"/>
        <v>A52</v>
      </c>
      <c r="AL12" s="181">
        <v>8</v>
      </c>
      <c r="AM12" s="184">
        <v>55240</v>
      </c>
      <c r="AN12" s="180" t="str">
        <f t="shared" si="13"/>
        <v>A53</v>
      </c>
      <c r="AO12" s="181">
        <v>8</v>
      </c>
      <c r="AP12" s="184">
        <v>58240</v>
      </c>
      <c r="AQ12" s="180" t="str">
        <f t="shared" si="14"/>
        <v>BB1</v>
      </c>
      <c r="AR12" s="181">
        <v>8</v>
      </c>
      <c r="AS12" s="184">
        <v>18886.88</v>
      </c>
      <c r="AT12" s="180" t="str">
        <f t="shared" si="15"/>
        <v>BB2</v>
      </c>
      <c r="AU12" s="181">
        <v>8</v>
      </c>
      <c r="AV12" s="184">
        <v>20948.88</v>
      </c>
      <c r="AW12" s="180" t="str">
        <f t="shared" si="16"/>
        <v>BB3</v>
      </c>
      <c r="AX12" s="288">
        <v>8</v>
      </c>
      <c r="AY12" s="184">
        <v>23010.880000000001</v>
      </c>
      <c r="AZ12" s="180" t="str">
        <f t="shared" si="17"/>
        <v>BB4</v>
      </c>
      <c r="BA12" s="288">
        <v>8</v>
      </c>
      <c r="BB12" s="184">
        <v>23453.7</v>
      </c>
      <c r="BC12" s="180" t="str">
        <f t="shared" si="18"/>
        <v>B1A</v>
      </c>
      <c r="BD12" s="288">
        <v>8</v>
      </c>
      <c r="BE12" s="184">
        <v>18886.88</v>
      </c>
      <c r="BF12" s="180" t="str">
        <f t="shared" si="19"/>
        <v>B2A</v>
      </c>
      <c r="BG12" s="288">
        <v>8</v>
      </c>
      <c r="BH12" s="184">
        <v>21710.5</v>
      </c>
      <c r="BI12" s="180" t="str">
        <f t="shared" si="20"/>
        <v>B3A</v>
      </c>
      <c r="BJ12" s="288">
        <v>8</v>
      </c>
      <c r="BK12" s="184">
        <v>23010.880000000001</v>
      </c>
      <c r="BL12" s="180" t="str">
        <f t="shared" si="21"/>
        <v>B4A</v>
      </c>
      <c r="BM12" s="288">
        <v>8</v>
      </c>
      <c r="BN12" s="184">
        <v>23453.7</v>
      </c>
      <c r="BO12" s="180" t="str">
        <f t="shared" si="22"/>
        <v>B1B</v>
      </c>
      <c r="BP12" s="288">
        <v>8</v>
      </c>
      <c r="BQ12" s="184">
        <v>19108.5</v>
      </c>
      <c r="BR12" s="180" t="str">
        <f t="shared" si="23"/>
        <v>B2B</v>
      </c>
      <c r="BS12" s="288">
        <v>8</v>
      </c>
      <c r="BT12" s="184">
        <v>22108.5</v>
      </c>
      <c r="BU12" s="180" t="str">
        <f t="shared" si="24"/>
        <v>B3B</v>
      </c>
      <c r="BV12" s="288">
        <v>8</v>
      </c>
      <c r="BW12" s="184">
        <v>25108.5</v>
      </c>
      <c r="BX12" s="180" t="str">
        <f t="shared" si="25"/>
        <v>B4B</v>
      </c>
      <c r="BY12" s="288">
        <v>8</v>
      </c>
      <c r="BZ12" s="184">
        <v>26624.5</v>
      </c>
      <c r="CA12" s="180" t="str">
        <f t="shared" si="26"/>
        <v>B1C</v>
      </c>
      <c r="CB12" s="288">
        <v>8</v>
      </c>
      <c r="CC12" s="184">
        <v>18886.88</v>
      </c>
      <c r="CD12" s="180" t="str">
        <f t="shared" si="27"/>
        <v>B2C</v>
      </c>
      <c r="CE12" s="288">
        <v>8</v>
      </c>
      <c r="CF12" s="184">
        <v>20948.88</v>
      </c>
      <c r="CG12" s="180" t="str">
        <f t="shared" si="28"/>
        <v>B3C</v>
      </c>
      <c r="CH12" s="288">
        <v>8</v>
      </c>
      <c r="CI12" s="184">
        <v>23010.880000000001</v>
      </c>
      <c r="CJ12" s="180" t="str">
        <f t="shared" si="29"/>
        <v>B4C</v>
      </c>
      <c r="CK12" s="288">
        <v>8</v>
      </c>
      <c r="CL12" s="183">
        <v>23453.7</v>
      </c>
      <c r="CM12" s="180" t="str">
        <f t="shared" si="30"/>
        <v>B1D</v>
      </c>
      <c r="CN12" s="288">
        <v>8</v>
      </c>
      <c r="CO12" s="184">
        <v>18886.88</v>
      </c>
      <c r="CP12" s="180" t="str">
        <f t="shared" si="31"/>
        <v>B2D</v>
      </c>
      <c r="CQ12" s="288">
        <v>8</v>
      </c>
      <c r="CR12" s="184">
        <v>21138.5</v>
      </c>
      <c r="CS12" s="180" t="str">
        <f t="shared" si="32"/>
        <v>B3D</v>
      </c>
      <c r="CT12" s="288">
        <v>8</v>
      </c>
      <c r="CU12" s="184">
        <v>23010.880000000001</v>
      </c>
      <c r="CV12" s="180" t="str">
        <f t="shared" si="33"/>
        <v>B4D</v>
      </c>
      <c r="CW12" s="288">
        <v>8</v>
      </c>
      <c r="CX12" s="183">
        <v>24740.5</v>
      </c>
      <c r="CY12" s="16"/>
    </row>
    <row r="13" spans="1:103" x14ac:dyDescent="0.2">
      <c r="A13" s="180" t="str">
        <f t="shared" si="0"/>
        <v>A11</v>
      </c>
      <c r="B13" s="181">
        <v>9</v>
      </c>
      <c r="C13" s="183">
        <v>25885</v>
      </c>
      <c r="D13" s="180" t="str">
        <f t="shared" si="1"/>
        <v>A12</v>
      </c>
      <c r="E13" s="181">
        <v>9</v>
      </c>
      <c r="F13" s="184">
        <v>27885</v>
      </c>
      <c r="G13" s="180" t="str">
        <f t="shared" si="2"/>
        <v>A21</v>
      </c>
      <c r="H13" s="181">
        <v>9</v>
      </c>
      <c r="I13" s="184">
        <v>30200</v>
      </c>
      <c r="J13" s="180" t="str">
        <f t="shared" si="3"/>
        <v>A22</v>
      </c>
      <c r="K13" s="181">
        <v>9</v>
      </c>
      <c r="L13" s="184">
        <v>33200</v>
      </c>
      <c r="M13" s="180" t="str">
        <f t="shared" si="4"/>
        <v>A23</v>
      </c>
      <c r="N13" s="181">
        <v>9</v>
      </c>
      <c r="O13" s="184">
        <v>36200</v>
      </c>
      <c r="P13" s="180" t="str">
        <f t="shared" si="5"/>
        <v>A31</v>
      </c>
      <c r="Q13" s="181">
        <v>9</v>
      </c>
      <c r="R13" s="184">
        <v>37060</v>
      </c>
      <c r="S13" s="180" t="str">
        <f t="shared" si="6"/>
        <v>A32</v>
      </c>
      <c r="T13" s="181">
        <v>9</v>
      </c>
      <c r="U13" s="184">
        <v>40560</v>
      </c>
      <c r="V13" s="180" t="str">
        <f t="shared" si="7"/>
        <v>A33</v>
      </c>
      <c r="W13" s="181">
        <v>9</v>
      </c>
      <c r="X13" s="184">
        <v>43560</v>
      </c>
      <c r="Y13" s="180" t="str">
        <f t="shared" si="8"/>
        <v>A41</v>
      </c>
      <c r="Z13" s="181">
        <v>9</v>
      </c>
      <c r="AA13" s="184">
        <v>45060</v>
      </c>
      <c r="AB13" s="180" t="str">
        <f t="shared" si="9"/>
        <v>A42</v>
      </c>
      <c r="AC13" s="181">
        <v>9</v>
      </c>
      <c r="AD13" s="184">
        <v>48060</v>
      </c>
      <c r="AE13" s="180" t="str">
        <f t="shared" si="10"/>
        <v>A43</v>
      </c>
      <c r="AF13" s="181">
        <v>9</v>
      </c>
      <c r="AG13" s="184">
        <v>51060</v>
      </c>
      <c r="AH13" s="180" t="str">
        <f t="shared" si="11"/>
        <v>A51</v>
      </c>
      <c r="AI13" s="181">
        <v>9</v>
      </c>
      <c r="AJ13" s="184">
        <v>52850</v>
      </c>
      <c r="AK13" s="180" t="str">
        <f t="shared" si="12"/>
        <v>A52</v>
      </c>
      <c r="AL13" s="181">
        <v>9</v>
      </c>
      <c r="AM13" s="184">
        <v>55850</v>
      </c>
      <c r="AN13" s="180" t="str">
        <f t="shared" si="13"/>
        <v>A53</v>
      </c>
      <c r="AO13" s="181">
        <v>9</v>
      </c>
      <c r="AP13" s="184">
        <v>58850</v>
      </c>
      <c r="AQ13" s="180" t="str">
        <f t="shared" si="14"/>
        <v>BB1</v>
      </c>
      <c r="AR13" s="181">
        <v>9</v>
      </c>
      <c r="AS13" s="184">
        <v>19320.939999999999</v>
      </c>
      <c r="AT13" s="180" t="str">
        <f t="shared" si="15"/>
        <v>BB2</v>
      </c>
      <c r="AU13" s="181">
        <v>9</v>
      </c>
      <c r="AV13" s="184">
        <v>21399.62</v>
      </c>
      <c r="AW13" s="180" t="str">
        <f t="shared" si="16"/>
        <v>BB3</v>
      </c>
      <c r="AX13" s="288">
        <v>9</v>
      </c>
      <c r="AY13" s="184">
        <v>23444.94</v>
      </c>
      <c r="AZ13" s="180" t="str">
        <f t="shared" si="17"/>
        <v>BB4</v>
      </c>
      <c r="BA13" s="288">
        <v>9</v>
      </c>
      <c r="BB13" s="184">
        <v>24302.75</v>
      </c>
      <c r="BC13" s="180" t="str">
        <f t="shared" si="18"/>
        <v>B1A</v>
      </c>
      <c r="BD13" s="288">
        <v>9</v>
      </c>
      <c r="BE13" s="184">
        <v>19320.939999999999</v>
      </c>
      <c r="BF13" s="180" t="str">
        <f t="shared" si="19"/>
        <v>B2A</v>
      </c>
      <c r="BG13" s="288">
        <v>9</v>
      </c>
      <c r="BH13" s="184">
        <v>22131.5</v>
      </c>
      <c r="BI13" s="180" t="str">
        <f t="shared" si="20"/>
        <v>B3A</v>
      </c>
      <c r="BJ13" s="288">
        <v>9</v>
      </c>
      <c r="BK13" s="184">
        <v>23605.37</v>
      </c>
      <c r="BL13" s="180" t="str">
        <f t="shared" si="21"/>
        <v>B4A</v>
      </c>
      <c r="BM13" s="288">
        <v>9</v>
      </c>
      <c r="BN13" s="184">
        <v>24302.75</v>
      </c>
      <c r="BO13" s="180" t="str">
        <f t="shared" si="22"/>
        <v>B1B</v>
      </c>
      <c r="BP13" s="288">
        <v>9</v>
      </c>
      <c r="BQ13" s="184">
        <v>19781.5</v>
      </c>
      <c r="BR13" s="180" t="str">
        <f t="shared" si="23"/>
        <v>B2B</v>
      </c>
      <c r="BS13" s="288">
        <v>9</v>
      </c>
      <c r="BT13" s="184">
        <v>22781.5</v>
      </c>
      <c r="BU13" s="180" t="str">
        <f t="shared" si="24"/>
        <v>B3B</v>
      </c>
      <c r="BV13" s="288">
        <v>9</v>
      </c>
      <c r="BW13" s="184">
        <v>25781.5</v>
      </c>
      <c r="BX13" s="180" t="str">
        <f t="shared" si="25"/>
        <v>B4B</v>
      </c>
      <c r="BY13" s="288">
        <v>9</v>
      </c>
      <c r="BZ13" s="184">
        <v>27297.5</v>
      </c>
      <c r="CA13" s="180" t="str">
        <f t="shared" si="26"/>
        <v>B1C</v>
      </c>
      <c r="CB13" s="288">
        <v>9</v>
      </c>
      <c r="CC13" s="184">
        <v>19320.939999999999</v>
      </c>
      <c r="CD13" s="180" t="str">
        <f t="shared" si="27"/>
        <v>B2C</v>
      </c>
      <c r="CE13" s="288">
        <v>9</v>
      </c>
      <c r="CF13" s="184">
        <v>21399.62</v>
      </c>
      <c r="CG13" s="180" t="str">
        <f t="shared" si="28"/>
        <v>B3C</v>
      </c>
      <c r="CH13" s="288">
        <v>9</v>
      </c>
      <c r="CI13" s="184">
        <v>23444.94</v>
      </c>
      <c r="CJ13" s="180" t="str">
        <f t="shared" si="29"/>
        <v>B4C</v>
      </c>
      <c r="CK13" s="288">
        <v>9</v>
      </c>
      <c r="CL13" s="183">
        <v>24302.75</v>
      </c>
      <c r="CM13" s="180" t="str">
        <f t="shared" si="30"/>
        <v>B1D</v>
      </c>
      <c r="CN13" s="288">
        <v>9</v>
      </c>
      <c r="CO13" s="184">
        <v>19320.939999999999</v>
      </c>
      <c r="CP13" s="180" t="str">
        <f t="shared" si="31"/>
        <v>B2D</v>
      </c>
      <c r="CQ13" s="288">
        <v>9</v>
      </c>
      <c r="CR13" s="184">
        <v>21811.5</v>
      </c>
      <c r="CS13" s="180" t="str">
        <f t="shared" si="32"/>
        <v>B3D</v>
      </c>
      <c r="CT13" s="288">
        <v>9</v>
      </c>
      <c r="CU13" s="184">
        <v>23672.5</v>
      </c>
      <c r="CV13" s="180" t="str">
        <f t="shared" si="33"/>
        <v>B4D</v>
      </c>
      <c r="CW13" s="288">
        <v>9</v>
      </c>
      <c r="CX13" s="183">
        <v>25533.5</v>
      </c>
      <c r="CY13" s="16"/>
    </row>
    <row r="14" spans="1:103" x14ac:dyDescent="0.2">
      <c r="A14" s="180" t="str">
        <f t="shared" si="0"/>
        <v>A11</v>
      </c>
      <c r="B14" s="181">
        <v>10</v>
      </c>
      <c r="C14" s="183">
        <v>26330</v>
      </c>
      <c r="D14" s="180" t="str">
        <f t="shared" si="1"/>
        <v>A12</v>
      </c>
      <c r="E14" s="181">
        <v>10</v>
      </c>
      <c r="F14" s="184">
        <v>28330</v>
      </c>
      <c r="G14" s="180" t="str">
        <f t="shared" si="2"/>
        <v>A21</v>
      </c>
      <c r="H14" s="181">
        <v>10</v>
      </c>
      <c r="I14" s="184">
        <v>30680</v>
      </c>
      <c r="J14" s="180" t="str">
        <f t="shared" si="3"/>
        <v>A22</v>
      </c>
      <c r="K14" s="181">
        <v>10</v>
      </c>
      <c r="L14" s="184">
        <v>33680</v>
      </c>
      <c r="M14" s="180" t="str">
        <f t="shared" si="4"/>
        <v>A23</v>
      </c>
      <c r="N14" s="181">
        <v>10</v>
      </c>
      <c r="O14" s="184">
        <v>36680</v>
      </c>
      <c r="P14" s="180" t="str">
        <f t="shared" si="5"/>
        <v>A31</v>
      </c>
      <c r="Q14" s="181">
        <v>10</v>
      </c>
      <c r="R14" s="184">
        <v>37580</v>
      </c>
      <c r="S14" s="180" t="str">
        <f t="shared" si="6"/>
        <v>A32</v>
      </c>
      <c r="T14" s="181">
        <v>10</v>
      </c>
      <c r="U14" s="184">
        <v>41080</v>
      </c>
      <c r="V14" s="180" t="str">
        <f t="shared" si="7"/>
        <v>A33</v>
      </c>
      <c r="W14" s="181">
        <v>10</v>
      </c>
      <c r="X14" s="184">
        <v>44080</v>
      </c>
      <c r="Y14" s="180" t="str">
        <f t="shared" si="8"/>
        <v>A41</v>
      </c>
      <c r="Z14" s="181">
        <v>10</v>
      </c>
      <c r="AA14" s="184">
        <v>45670</v>
      </c>
      <c r="AB14" s="180" t="str">
        <f t="shared" si="9"/>
        <v>A42</v>
      </c>
      <c r="AC14" s="181">
        <v>10</v>
      </c>
      <c r="AD14" s="184">
        <v>48670</v>
      </c>
      <c r="AE14" s="180" t="str">
        <f t="shared" si="10"/>
        <v>A43</v>
      </c>
      <c r="AF14" s="181">
        <v>10</v>
      </c>
      <c r="AG14" s="184">
        <v>51670</v>
      </c>
      <c r="AH14" s="180" t="str">
        <f t="shared" si="11"/>
        <v>A51</v>
      </c>
      <c r="AI14" s="181">
        <v>10</v>
      </c>
      <c r="AJ14" s="184">
        <v>53460</v>
      </c>
      <c r="AK14" s="180" t="str">
        <f t="shared" si="12"/>
        <v>A52</v>
      </c>
      <c r="AL14" s="181">
        <v>10</v>
      </c>
      <c r="AM14" s="184">
        <v>56460</v>
      </c>
      <c r="AN14" s="180" t="str">
        <f t="shared" si="13"/>
        <v>A53</v>
      </c>
      <c r="AO14" s="181">
        <v>10</v>
      </c>
      <c r="AP14" s="184">
        <v>59460</v>
      </c>
      <c r="AQ14" s="180" t="str">
        <f t="shared" si="14"/>
        <v>BB1</v>
      </c>
      <c r="AR14" s="181">
        <v>10</v>
      </c>
      <c r="AS14" s="184">
        <v>19320.939999999999</v>
      </c>
      <c r="AT14" s="180" t="str">
        <f t="shared" si="15"/>
        <v>BB2</v>
      </c>
      <c r="AU14" s="181">
        <v>10</v>
      </c>
      <c r="AV14" s="184">
        <v>21399.62</v>
      </c>
      <c r="AW14" s="180" t="str">
        <f t="shared" si="16"/>
        <v>BB3</v>
      </c>
      <c r="AX14" s="288">
        <v>10</v>
      </c>
      <c r="AY14" s="184">
        <v>23444.94</v>
      </c>
      <c r="AZ14" s="180" t="str">
        <f t="shared" si="17"/>
        <v>BB4</v>
      </c>
      <c r="BA14" s="288">
        <v>10</v>
      </c>
      <c r="BB14" s="184">
        <v>24302.75</v>
      </c>
      <c r="BC14" s="180" t="str">
        <f t="shared" si="18"/>
        <v>B1A</v>
      </c>
      <c r="BD14" s="288">
        <v>10</v>
      </c>
      <c r="BE14" s="184">
        <v>19320.939999999999</v>
      </c>
      <c r="BF14" s="180" t="str">
        <f t="shared" si="19"/>
        <v>B2A</v>
      </c>
      <c r="BG14" s="288">
        <v>10</v>
      </c>
      <c r="BH14" s="184">
        <v>22131.5</v>
      </c>
      <c r="BI14" s="180" t="str">
        <f t="shared" si="20"/>
        <v>B3A</v>
      </c>
      <c r="BJ14" s="288">
        <v>10</v>
      </c>
      <c r="BK14" s="184">
        <v>23605.37</v>
      </c>
      <c r="BL14" s="180" t="str">
        <f t="shared" si="21"/>
        <v>B4A</v>
      </c>
      <c r="BM14" s="288">
        <v>10</v>
      </c>
      <c r="BN14" s="184">
        <v>24302.75</v>
      </c>
      <c r="BO14" s="180" t="str">
        <f t="shared" si="22"/>
        <v>B1B</v>
      </c>
      <c r="BP14" s="288">
        <v>10</v>
      </c>
      <c r="BQ14" s="184">
        <v>19781.5</v>
      </c>
      <c r="BR14" s="180" t="str">
        <f t="shared" si="23"/>
        <v>B2B</v>
      </c>
      <c r="BS14" s="288">
        <v>10</v>
      </c>
      <c r="BT14" s="184">
        <v>22781.5</v>
      </c>
      <c r="BU14" s="180" t="str">
        <f t="shared" si="24"/>
        <v>B3B</v>
      </c>
      <c r="BV14" s="288">
        <v>10</v>
      </c>
      <c r="BW14" s="184">
        <v>25781.5</v>
      </c>
      <c r="BX14" s="180" t="str">
        <f t="shared" si="25"/>
        <v>B4B</v>
      </c>
      <c r="BY14" s="288">
        <v>10</v>
      </c>
      <c r="BZ14" s="184">
        <v>27297.5</v>
      </c>
      <c r="CA14" s="180" t="str">
        <f t="shared" si="26"/>
        <v>B1C</v>
      </c>
      <c r="CB14" s="288">
        <v>10</v>
      </c>
      <c r="CC14" s="184">
        <v>19320.939999999999</v>
      </c>
      <c r="CD14" s="180" t="str">
        <f t="shared" si="27"/>
        <v>B2C</v>
      </c>
      <c r="CE14" s="288">
        <v>10</v>
      </c>
      <c r="CF14" s="184">
        <v>21399.62</v>
      </c>
      <c r="CG14" s="180" t="str">
        <f t="shared" si="28"/>
        <v>B3C</v>
      </c>
      <c r="CH14" s="288">
        <v>10</v>
      </c>
      <c r="CI14" s="184">
        <v>23444.94</v>
      </c>
      <c r="CJ14" s="180" t="str">
        <f t="shared" si="29"/>
        <v>B4C</v>
      </c>
      <c r="CK14" s="288">
        <v>10</v>
      </c>
      <c r="CL14" s="183">
        <v>24302.75</v>
      </c>
      <c r="CM14" s="180" t="str">
        <f t="shared" si="30"/>
        <v>B1D</v>
      </c>
      <c r="CN14" s="288">
        <v>10</v>
      </c>
      <c r="CO14" s="184">
        <v>19320.939999999999</v>
      </c>
      <c r="CP14" s="180" t="str">
        <f t="shared" si="31"/>
        <v>B2D</v>
      </c>
      <c r="CQ14" s="288">
        <v>10</v>
      </c>
      <c r="CR14" s="184">
        <v>21811.5</v>
      </c>
      <c r="CS14" s="180" t="str">
        <f t="shared" si="32"/>
        <v>B3D</v>
      </c>
      <c r="CT14" s="288">
        <v>10</v>
      </c>
      <c r="CU14" s="184">
        <v>23672.5</v>
      </c>
      <c r="CV14" s="180" t="str">
        <f t="shared" si="33"/>
        <v>B4D</v>
      </c>
      <c r="CW14" s="288">
        <v>10</v>
      </c>
      <c r="CX14" s="183">
        <v>25533.5</v>
      </c>
      <c r="CY14" s="16"/>
    </row>
    <row r="15" spans="1:103" x14ac:dyDescent="0.2">
      <c r="A15" s="180" t="str">
        <f t="shared" si="0"/>
        <v>A11</v>
      </c>
      <c r="B15" s="181">
        <v>11</v>
      </c>
      <c r="C15" s="183">
        <v>26775</v>
      </c>
      <c r="D15" s="180" t="str">
        <f t="shared" si="1"/>
        <v>A12</v>
      </c>
      <c r="E15" s="181">
        <v>11</v>
      </c>
      <c r="F15" s="184">
        <v>28775</v>
      </c>
      <c r="G15" s="180" t="str">
        <f t="shared" si="2"/>
        <v>A21</v>
      </c>
      <c r="H15" s="181">
        <v>11</v>
      </c>
      <c r="I15" s="184">
        <v>31160</v>
      </c>
      <c r="J15" s="180" t="str">
        <f t="shared" si="3"/>
        <v>A22</v>
      </c>
      <c r="K15" s="181">
        <v>11</v>
      </c>
      <c r="L15" s="184">
        <v>34160</v>
      </c>
      <c r="M15" s="180" t="str">
        <f t="shared" si="4"/>
        <v>A23</v>
      </c>
      <c r="N15" s="181">
        <v>11</v>
      </c>
      <c r="O15" s="184">
        <v>37160</v>
      </c>
      <c r="P15" s="180" t="str">
        <f t="shared" si="5"/>
        <v>A31</v>
      </c>
      <c r="Q15" s="181">
        <v>11</v>
      </c>
      <c r="R15" s="184">
        <v>38100</v>
      </c>
      <c r="S15" s="180" t="str">
        <f t="shared" si="6"/>
        <v>A32</v>
      </c>
      <c r="T15" s="181">
        <v>11</v>
      </c>
      <c r="U15" s="184">
        <v>41600</v>
      </c>
      <c r="V15" s="180" t="str">
        <f t="shared" si="7"/>
        <v>A33</v>
      </c>
      <c r="W15" s="181">
        <v>11</v>
      </c>
      <c r="X15" s="184">
        <v>44600</v>
      </c>
      <c r="Y15" s="180" t="str">
        <f t="shared" si="8"/>
        <v>A41</v>
      </c>
      <c r="Z15" s="181">
        <v>11</v>
      </c>
      <c r="AA15" s="184">
        <v>46280</v>
      </c>
      <c r="AB15" s="180" t="str">
        <f t="shared" si="9"/>
        <v>A42</v>
      </c>
      <c r="AC15" s="181">
        <v>11</v>
      </c>
      <c r="AD15" s="184">
        <v>49280</v>
      </c>
      <c r="AE15" s="180" t="str">
        <f t="shared" si="10"/>
        <v>A43</v>
      </c>
      <c r="AF15" s="181">
        <v>11</v>
      </c>
      <c r="AG15" s="184">
        <v>52280</v>
      </c>
      <c r="AH15" s="180" t="str">
        <f t="shared" si="11"/>
        <v>A51</v>
      </c>
      <c r="AI15" s="181">
        <v>11</v>
      </c>
      <c r="AJ15" s="184">
        <v>54070</v>
      </c>
      <c r="AK15" s="180" t="str">
        <f t="shared" si="12"/>
        <v>A52</v>
      </c>
      <c r="AL15" s="181">
        <v>11</v>
      </c>
      <c r="AM15" s="184">
        <v>57070</v>
      </c>
      <c r="AN15" s="180" t="str">
        <f t="shared" si="13"/>
        <v>A53</v>
      </c>
      <c r="AO15" s="181">
        <v>11</v>
      </c>
      <c r="AP15" s="184">
        <v>60070</v>
      </c>
      <c r="AQ15" s="180" t="str">
        <f t="shared" si="14"/>
        <v>BB1</v>
      </c>
      <c r="AR15" s="181">
        <v>11</v>
      </c>
      <c r="AS15" s="184">
        <v>19755</v>
      </c>
      <c r="AT15" s="180" t="str">
        <f t="shared" si="15"/>
        <v>BB2</v>
      </c>
      <c r="AU15" s="181">
        <v>11</v>
      </c>
      <c r="AV15" s="184">
        <v>21941.200000000001</v>
      </c>
      <c r="AW15" s="180" t="str">
        <f t="shared" si="16"/>
        <v>BB3</v>
      </c>
      <c r="AX15" s="288">
        <v>11</v>
      </c>
      <c r="AY15" s="184">
        <v>23939.75</v>
      </c>
      <c r="AZ15" s="180" t="str">
        <f t="shared" si="17"/>
        <v>BB4</v>
      </c>
      <c r="BA15" s="288">
        <v>11</v>
      </c>
      <c r="BB15" s="184">
        <v>25151.79</v>
      </c>
      <c r="BC15" s="180" t="str">
        <f t="shared" si="18"/>
        <v>B1A</v>
      </c>
      <c r="BD15" s="288">
        <v>11</v>
      </c>
      <c r="BE15" s="184">
        <v>19755</v>
      </c>
      <c r="BF15" s="180" t="str">
        <f t="shared" si="19"/>
        <v>B2A</v>
      </c>
      <c r="BG15" s="288">
        <v>11</v>
      </c>
      <c r="BH15" s="184">
        <v>22552.5</v>
      </c>
      <c r="BI15" s="180" t="str">
        <f t="shared" si="20"/>
        <v>B3A</v>
      </c>
      <c r="BJ15" s="288">
        <v>11</v>
      </c>
      <c r="BK15" s="184">
        <v>24277.68</v>
      </c>
      <c r="BL15" s="180" t="str">
        <f t="shared" si="21"/>
        <v>B4A</v>
      </c>
      <c r="BM15" s="288">
        <v>11</v>
      </c>
      <c r="BN15" s="184">
        <v>25151.79</v>
      </c>
      <c r="BO15" s="180" t="str">
        <f t="shared" si="22"/>
        <v>B1B</v>
      </c>
      <c r="BP15" s="288">
        <v>11</v>
      </c>
      <c r="BQ15" s="184">
        <v>20454.5</v>
      </c>
      <c r="BR15" s="180" t="str">
        <f t="shared" si="23"/>
        <v>B2B</v>
      </c>
      <c r="BS15" s="288">
        <v>11</v>
      </c>
      <c r="BT15" s="184">
        <v>23454.5</v>
      </c>
      <c r="BU15" s="180" t="str">
        <f t="shared" si="24"/>
        <v>B3B</v>
      </c>
      <c r="BV15" s="288">
        <v>11</v>
      </c>
      <c r="BW15" s="184">
        <v>26454.5</v>
      </c>
      <c r="BX15" s="180" t="str">
        <f t="shared" si="25"/>
        <v>B4B</v>
      </c>
      <c r="BY15" s="288">
        <v>11</v>
      </c>
      <c r="BZ15" s="184">
        <v>27970.5</v>
      </c>
      <c r="CA15" s="180" t="str">
        <f t="shared" si="26"/>
        <v>B1C</v>
      </c>
      <c r="CB15" s="288">
        <v>11</v>
      </c>
      <c r="CC15" s="184">
        <v>19755</v>
      </c>
      <c r="CD15" s="180" t="str">
        <f t="shared" si="27"/>
        <v>B2C</v>
      </c>
      <c r="CE15" s="288">
        <v>11</v>
      </c>
      <c r="CF15" s="184">
        <v>21941.200000000001</v>
      </c>
      <c r="CG15" s="180" t="str">
        <f t="shared" si="28"/>
        <v>B3C</v>
      </c>
      <c r="CH15" s="288">
        <v>11</v>
      </c>
      <c r="CI15" s="184">
        <v>23939.75</v>
      </c>
      <c r="CJ15" s="180" t="str">
        <f t="shared" si="29"/>
        <v>B4C</v>
      </c>
      <c r="CK15" s="288">
        <v>11</v>
      </c>
      <c r="CL15" s="183">
        <v>25151.79</v>
      </c>
      <c r="CM15" s="180" t="str">
        <f t="shared" si="30"/>
        <v>B1D</v>
      </c>
      <c r="CN15" s="288">
        <v>11</v>
      </c>
      <c r="CO15" s="184">
        <v>19984.5</v>
      </c>
      <c r="CP15" s="180" t="str">
        <f t="shared" si="31"/>
        <v>B2D</v>
      </c>
      <c r="CQ15" s="288">
        <v>11</v>
      </c>
      <c r="CR15" s="184">
        <v>22484.5</v>
      </c>
      <c r="CS15" s="180" t="str">
        <f t="shared" si="32"/>
        <v>B3D</v>
      </c>
      <c r="CT15" s="288">
        <v>11</v>
      </c>
      <c r="CU15" s="184">
        <v>24405.5</v>
      </c>
      <c r="CV15" s="180" t="str">
        <f t="shared" si="33"/>
        <v>B4D</v>
      </c>
      <c r="CW15" s="288">
        <v>11</v>
      </c>
      <c r="CX15" s="183">
        <v>26326.5</v>
      </c>
      <c r="CY15" s="16"/>
    </row>
    <row r="16" spans="1:103" x14ac:dyDescent="0.2">
      <c r="A16" s="180" t="str">
        <f t="shared" si="0"/>
        <v>A11</v>
      </c>
      <c r="B16" s="181">
        <v>12</v>
      </c>
      <c r="C16" s="183">
        <v>27220</v>
      </c>
      <c r="D16" s="180" t="str">
        <f t="shared" si="1"/>
        <v>A12</v>
      </c>
      <c r="E16" s="181">
        <v>12</v>
      </c>
      <c r="F16" s="184">
        <v>29220</v>
      </c>
      <c r="G16" s="180" t="str">
        <f t="shared" si="2"/>
        <v>A21</v>
      </c>
      <c r="H16" s="181">
        <v>12</v>
      </c>
      <c r="I16" s="184">
        <v>31640</v>
      </c>
      <c r="J16" s="180" t="str">
        <f t="shared" si="3"/>
        <v>A22</v>
      </c>
      <c r="K16" s="181">
        <v>12</v>
      </c>
      <c r="L16" s="184">
        <v>34640</v>
      </c>
      <c r="M16" s="180" t="str">
        <f t="shared" si="4"/>
        <v>A23</v>
      </c>
      <c r="N16" s="181">
        <v>12</v>
      </c>
      <c r="O16" s="184">
        <v>37640</v>
      </c>
      <c r="P16" s="180" t="str">
        <f t="shared" si="5"/>
        <v>A31</v>
      </c>
      <c r="Q16" s="181">
        <v>12</v>
      </c>
      <c r="R16" s="184">
        <v>38620</v>
      </c>
      <c r="S16" s="180" t="str">
        <f t="shared" si="6"/>
        <v>A32</v>
      </c>
      <c r="T16" s="181">
        <v>12</v>
      </c>
      <c r="U16" s="184">
        <v>42120</v>
      </c>
      <c r="V16" s="180" t="str">
        <f t="shared" si="7"/>
        <v>A33</v>
      </c>
      <c r="W16" s="181">
        <v>12</v>
      </c>
      <c r="X16" s="184">
        <v>45120</v>
      </c>
      <c r="Y16" s="180" t="str">
        <f t="shared" si="8"/>
        <v>A41</v>
      </c>
      <c r="Z16" s="181">
        <v>12</v>
      </c>
      <c r="AA16" s="184">
        <v>46890</v>
      </c>
      <c r="AB16" s="180" t="str">
        <f t="shared" si="9"/>
        <v>A42</v>
      </c>
      <c r="AC16" s="181">
        <v>12</v>
      </c>
      <c r="AD16" s="184">
        <v>49890</v>
      </c>
      <c r="AE16" s="180" t="str">
        <f t="shared" si="10"/>
        <v>A43</v>
      </c>
      <c r="AF16" s="181">
        <v>12</v>
      </c>
      <c r="AG16" s="184">
        <v>52890</v>
      </c>
      <c r="AH16" s="180" t="str">
        <f t="shared" si="11"/>
        <v>A51</v>
      </c>
      <c r="AI16" s="181">
        <v>12</v>
      </c>
      <c r="AJ16" s="184">
        <v>54680</v>
      </c>
      <c r="AK16" s="180" t="str">
        <f t="shared" si="12"/>
        <v>A52</v>
      </c>
      <c r="AL16" s="181">
        <v>12</v>
      </c>
      <c r="AM16" s="184">
        <v>57680</v>
      </c>
      <c r="AN16" s="180" t="str">
        <f t="shared" si="13"/>
        <v>A53</v>
      </c>
      <c r="AO16" s="181">
        <v>12</v>
      </c>
      <c r="AP16" s="184">
        <v>60680</v>
      </c>
      <c r="AQ16" s="180" t="str">
        <f t="shared" si="14"/>
        <v>BB1</v>
      </c>
      <c r="AR16" s="181">
        <v>12</v>
      </c>
      <c r="AS16" s="184">
        <v>19755</v>
      </c>
      <c r="AT16" s="180" t="str">
        <f t="shared" si="15"/>
        <v>BB2</v>
      </c>
      <c r="AU16" s="181">
        <v>12</v>
      </c>
      <c r="AV16" s="184">
        <v>21941.200000000001</v>
      </c>
      <c r="AW16" s="180" t="str">
        <f t="shared" si="16"/>
        <v>BB3</v>
      </c>
      <c r="AX16" s="288">
        <v>12</v>
      </c>
      <c r="AY16" s="184">
        <v>23939.75</v>
      </c>
      <c r="AZ16" s="180" t="str">
        <f t="shared" si="17"/>
        <v>BB4</v>
      </c>
      <c r="BA16" s="288">
        <v>12</v>
      </c>
      <c r="BB16" s="184">
        <v>25151.79</v>
      </c>
      <c r="BC16" s="180" t="str">
        <f t="shared" si="18"/>
        <v>B1A</v>
      </c>
      <c r="BD16" s="288">
        <v>12</v>
      </c>
      <c r="BE16" s="184">
        <v>19755</v>
      </c>
      <c r="BF16" s="180" t="str">
        <f t="shared" si="19"/>
        <v>B2A</v>
      </c>
      <c r="BG16" s="288">
        <v>12</v>
      </c>
      <c r="BH16" s="184">
        <v>22552.5</v>
      </c>
      <c r="BI16" s="180" t="str">
        <f t="shared" si="20"/>
        <v>B3A</v>
      </c>
      <c r="BJ16" s="288">
        <v>12</v>
      </c>
      <c r="BK16" s="184">
        <v>24277.68</v>
      </c>
      <c r="BL16" s="180" t="str">
        <f t="shared" si="21"/>
        <v>B4A</v>
      </c>
      <c r="BM16" s="288">
        <v>12</v>
      </c>
      <c r="BN16" s="184">
        <v>25151.79</v>
      </c>
      <c r="BO16" s="180" t="str">
        <f t="shared" si="22"/>
        <v>B1B</v>
      </c>
      <c r="BP16" s="288">
        <v>12</v>
      </c>
      <c r="BQ16" s="184">
        <v>20454.5</v>
      </c>
      <c r="BR16" s="180" t="str">
        <f t="shared" si="23"/>
        <v>B2B</v>
      </c>
      <c r="BS16" s="288">
        <v>12</v>
      </c>
      <c r="BT16" s="184">
        <v>23454.5</v>
      </c>
      <c r="BU16" s="180" t="str">
        <f t="shared" si="24"/>
        <v>B3B</v>
      </c>
      <c r="BV16" s="288">
        <v>12</v>
      </c>
      <c r="BW16" s="184">
        <v>26454.5</v>
      </c>
      <c r="BX16" s="180" t="str">
        <f t="shared" si="25"/>
        <v>B4B</v>
      </c>
      <c r="BY16" s="288">
        <v>12</v>
      </c>
      <c r="BZ16" s="184">
        <v>27970.5</v>
      </c>
      <c r="CA16" s="180" t="str">
        <f t="shared" si="26"/>
        <v>B1C</v>
      </c>
      <c r="CB16" s="288">
        <v>12</v>
      </c>
      <c r="CC16" s="184">
        <v>19755</v>
      </c>
      <c r="CD16" s="180" t="str">
        <f t="shared" si="27"/>
        <v>B2C</v>
      </c>
      <c r="CE16" s="288">
        <v>12</v>
      </c>
      <c r="CF16" s="184">
        <v>21941.200000000001</v>
      </c>
      <c r="CG16" s="180" t="str">
        <f t="shared" si="28"/>
        <v>B3C</v>
      </c>
      <c r="CH16" s="288">
        <v>12</v>
      </c>
      <c r="CI16" s="184">
        <v>23939.75</v>
      </c>
      <c r="CJ16" s="180" t="str">
        <f t="shared" si="29"/>
        <v>B4C</v>
      </c>
      <c r="CK16" s="288">
        <v>12</v>
      </c>
      <c r="CL16" s="183">
        <v>25151.79</v>
      </c>
      <c r="CM16" s="180" t="str">
        <f t="shared" si="30"/>
        <v>B1D</v>
      </c>
      <c r="CN16" s="288">
        <v>12</v>
      </c>
      <c r="CO16" s="184">
        <v>19984.5</v>
      </c>
      <c r="CP16" s="180" t="str">
        <f t="shared" si="31"/>
        <v>B2D</v>
      </c>
      <c r="CQ16" s="288">
        <v>12</v>
      </c>
      <c r="CR16" s="184">
        <v>22484.5</v>
      </c>
      <c r="CS16" s="180" t="str">
        <f t="shared" si="32"/>
        <v>B3D</v>
      </c>
      <c r="CT16" s="288">
        <v>12</v>
      </c>
      <c r="CU16" s="184">
        <v>24405.5</v>
      </c>
      <c r="CV16" s="180" t="str">
        <f t="shared" si="33"/>
        <v>B4D</v>
      </c>
      <c r="CW16" s="288">
        <v>12</v>
      </c>
      <c r="CX16" s="183">
        <v>26326.5</v>
      </c>
      <c r="CY16" s="16"/>
    </row>
    <row r="17" spans="1:103" x14ac:dyDescent="0.2">
      <c r="A17" s="180" t="str">
        <f t="shared" si="0"/>
        <v>A11</v>
      </c>
      <c r="B17" s="181">
        <v>13</v>
      </c>
      <c r="C17" s="183">
        <v>27665</v>
      </c>
      <c r="D17" s="180" t="str">
        <f t="shared" si="1"/>
        <v>A12</v>
      </c>
      <c r="E17" s="181">
        <v>13</v>
      </c>
      <c r="F17" s="184">
        <v>29665</v>
      </c>
      <c r="G17" s="180" t="str">
        <f t="shared" si="2"/>
        <v>A21</v>
      </c>
      <c r="H17" s="181">
        <v>13</v>
      </c>
      <c r="I17" s="184">
        <v>32120</v>
      </c>
      <c r="J17" s="180" t="str">
        <f t="shared" si="3"/>
        <v>A22</v>
      </c>
      <c r="K17" s="181">
        <v>13</v>
      </c>
      <c r="L17" s="184">
        <v>35120</v>
      </c>
      <c r="M17" s="180" t="str">
        <f t="shared" si="4"/>
        <v>A23</v>
      </c>
      <c r="N17" s="181">
        <v>13</v>
      </c>
      <c r="O17" s="184">
        <v>38120</v>
      </c>
      <c r="P17" s="180" t="str">
        <f t="shared" si="5"/>
        <v>A31</v>
      </c>
      <c r="Q17" s="181">
        <v>13</v>
      </c>
      <c r="R17" s="184">
        <v>39140</v>
      </c>
      <c r="S17" s="180" t="str">
        <f t="shared" si="6"/>
        <v>A32</v>
      </c>
      <c r="T17" s="181">
        <v>13</v>
      </c>
      <c r="U17" s="184">
        <v>42640</v>
      </c>
      <c r="V17" s="180" t="str">
        <f t="shared" si="7"/>
        <v>A33</v>
      </c>
      <c r="W17" s="181">
        <v>13</v>
      </c>
      <c r="X17" s="184">
        <v>45640</v>
      </c>
      <c r="Y17" s="180" t="str">
        <f t="shared" si="8"/>
        <v>A41</v>
      </c>
      <c r="Z17" s="181">
        <v>13</v>
      </c>
      <c r="AA17" s="184">
        <v>47500</v>
      </c>
      <c r="AB17" s="180" t="str">
        <f t="shared" si="9"/>
        <v>A42</v>
      </c>
      <c r="AC17" s="181">
        <v>13</v>
      </c>
      <c r="AD17" s="184">
        <v>50500</v>
      </c>
      <c r="AE17" s="180" t="str">
        <f t="shared" si="10"/>
        <v>A43</v>
      </c>
      <c r="AF17" s="181">
        <v>13</v>
      </c>
      <c r="AG17" s="184">
        <v>53500</v>
      </c>
      <c r="AH17" s="180" t="str">
        <f t="shared" si="11"/>
        <v>A51</v>
      </c>
      <c r="AI17" s="181">
        <v>13</v>
      </c>
      <c r="AJ17" s="184">
        <v>55290</v>
      </c>
      <c r="AK17" s="180" t="str">
        <f t="shared" si="12"/>
        <v>A52</v>
      </c>
      <c r="AL17" s="181">
        <v>13</v>
      </c>
      <c r="AM17" s="184">
        <v>58290</v>
      </c>
      <c r="AN17" s="180" t="str">
        <f t="shared" si="13"/>
        <v>A53</v>
      </c>
      <c r="AO17" s="181">
        <v>13</v>
      </c>
      <c r="AP17" s="184">
        <v>61290</v>
      </c>
      <c r="AQ17" s="180" t="str">
        <f t="shared" si="14"/>
        <v>BB1</v>
      </c>
      <c r="AR17" s="181">
        <v>13</v>
      </c>
      <c r="AS17" s="184">
        <v>20174.29</v>
      </c>
      <c r="AT17" s="180" t="str">
        <f t="shared" si="15"/>
        <v>BB2</v>
      </c>
      <c r="AU17" s="181">
        <v>13</v>
      </c>
      <c r="AV17" s="184">
        <v>22433.39</v>
      </c>
      <c r="AW17" s="180" t="str">
        <f t="shared" si="16"/>
        <v>BB3</v>
      </c>
      <c r="AX17" s="288">
        <v>13</v>
      </c>
      <c r="AY17" s="184">
        <v>24469.74</v>
      </c>
      <c r="AZ17" s="180" t="str">
        <f t="shared" si="17"/>
        <v>BB4</v>
      </c>
      <c r="BA17" s="288">
        <v>13</v>
      </c>
      <c r="BB17" s="184">
        <v>26000.84</v>
      </c>
      <c r="BC17" s="180" t="str">
        <f t="shared" si="18"/>
        <v>B1A</v>
      </c>
      <c r="BD17" s="288">
        <v>13</v>
      </c>
      <c r="BE17" s="184">
        <v>20174.29</v>
      </c>
      <c r="BF17" s="180" t="str">
        <f t="shared" si="19"/>
        <v>B2A</v>
      </c>
      <c r="BG17" s="288">
        <v>13</v>
      </c>
      <c r="BH17" s="184">
        <v>22924.5</v>
      </c>
      <c r="BI17" s="180" t="str">
        <f t="shared" si="20"/>
        <v>B3A</v>
      </c>
      <c r="BJ17" s="288">
        <v>13</v>
      </c>
      <c r="BK17" s="184">
        <v>24949.99</v>
      </c>
      <c r="BL17" s="180" t="str">
        <f t="shared" si="21"/>
        <v>B4A</v>
      </c>
      <c r="BM17" s="288">
        <v>13</v>
      </c>
      <c r="BN17" s="184">
        <v>26000.84</v>
      </c>
      <c r="BO17" s="180" t="str">
        <f t="shared" si="22"/>
        <v>B1B</v>
      </c>
      <c r="BP17" s="288">
        <v>13</v>
      </c>
      <c r="BQ17" s="184">
        <v>21079.5</v>
      </c>
      <c r="BR17" s="180" t="str">
        <f t="shared" si="23"/>
        <v>B2B</v>
      </c>
      <c r="BS17" s="288">
        <v>13</v>
      </c>
      <c r="BT17" s="184">
        <v>24079.5</v>
      </c>
      <c r="BU17" s="180" t="str">
        <f t="shared" si="24"/>
        <v>B3B</v>
      </c>
      <c r="BV17" s="288">
        <v>13</v>
      </c>
      <c r="BW17" s="184">
        <v>27079.5</v>
      </c>
      <c r="BX17" s="180" t="str">
        <f t="shared" si="25"/>
        <v>B4B</v>
      </c>
      <c r="BY17" s="288">
        <v>13</v>
      </c>
      <c r="BZ17" s="184">
        <v>28643.5</v>
      </c>
      <c r="CA17" s="180" t="str">
        <f t="shared" si="26"/>
        <v>B1C</v>
      </c>
      <c r="CB17" s="288">
        <v>13</v>
      </c>
      <c r="CC17" s="184">
        <v>20174.29</v>
      </c>
      <c r="CD17" s="180" t="str">
        <f t="shared" si="27"/>
        <v>B2C</v>
      </c>
      <c r="CE17" s="288">
        <v>13</v>
      </c>
      <c r="CF17" s="184">
        <v>22433.39</v>
      </c>
      <c r="CG17" s="180" t="str">
        <f t="shared" si="28"/>
        <v>B3C</v>
      </c>
      <c r="CH17" s="288">
        <v>13</v>
      </c>
      <c r="CI17" s="184">
        <v>24469.74</v>
      </c>
      <c r="CJ17" s="180" t="str">
        <f t="shared" si="29"/>
        <v>B4C</v>
      </c>
      <c r="CK17" s="288">
        <v>13</v>
      </c>
      <c r="CL17" s="183">
        <v>26000.84</v>
      </c>
      <c r="CM17" s="180" t="str">
        <f t="shared" si="30"/>
        <v>B1D</v>
      </c>
      <c r="CN17" s="288">
        <v>13</v>
      </c>
      <c r="CO17" s="184">
        <v>20609.5</v>
      </c>
      <c r="CP17" s="180" t="str">
        <f t="shared" si="31"/>
        <v>B2D</v>
      </c>
      <c r="CQ17" s="288">
        <v>13</v>
      </c>
      <c r="CR17" s="184">
        <v>23109.5</v>
      </c>
      <c r="CS17" s="180" t="str">
        <f t="shared" si="32"/>
        <v>B3D</v>
      </c>
      <c r="CT17" s="288">
        <v>13</v>
      </c>
      <c r="CU17" s="184">
        <v>25114.5</v>
      </c>
      <c r="CV17" s="180" t="str">
        <f t="shared" si="33"/>
        <v>B4D</v>
      </c>
      <c r="CW17" s="288">
        <v>13</v>
      </c>
      <c r="CX17" s="183">
        <v>27119.5</v>
      </c>
      <c r="CY17" s="16"/>
    </row>
    <row r="18" spans="1:103" x14ac:dyDescent="0.2">
      <c r="A18" s="180" t="str">
        <f t="shared" si="0"/>
        <v>A11</v>
      </c>
      <c r="B18" s="181">
        <v>14</v>
      </c>
      <c r="C18" s="183">
        <v>28110</v>
      </c>
      <c r="D18" s="180" t="str">
        <f t="shared" si="1"/>
        <v>A12</v>
      </c>
      <c r="E18" s="181">
        <v>14</v>
      </c>
      <c r="F18" s="184">
        <v>30110</v>
      </c>
      <c r="G18" s="180" t="str">
        <f t="shared" si="2"/>
        <v>A21</v>
      </c>
      <c r="H18" s="181">
        <v>14</v>
      </c>
      <c r="I18" s="184">
        <v>32600</v>
      </c>
      <c r="J18" s="180" t="str">
        <f t="shared" si="3"/>
        <v>A22</v>
      </c>
      <c r="K18" s="181">
        <v>14</v>
      </c>
      <c r="L18" s="184">
        <v>35600</v>
      </c>
      <c r="M18" s="180" t="str">
        <f t="shared" si="4"/>
        <v>A23</v>
      </c>
      <c r="N18" s="181">
        <v>14</v>
      </c>
      <c r="O18" s="184">
        <v>38600</v>
      </c>
      <c r="P18" s="180" t="str">
        <f t="shared" si="5"/>
        <v>A31</v>
      </c>
      <c r="Q18" s="181">
        <v>14</v>
      </c>
      <c r="R18" s="184">
        <v>39660</v>
      </c>
      <c r="S18" s="180" t="str">
        <f t="shared" si="6"/>
        <v>A32</v>
      </c>
      <c r="T18" s="181">
        <v>14</v>
      </c>
      <c r="U18" s="184">
        <v>43160</v>
      </c>
      <c r="V18" s="180" t="str">
        <f t="shared" si="7"/>
        <v>A33</v>
      </c>
      <c r="W18" s="181">
        <v>14</v>
      </c>
      <c r="X18" s="184">
        <v>46160</v>
      </c>
      <c r="Y18" s="180" t="str">
        <f t="shared" si="8"/>
        <v>A41</v>
      </c>
      <c r="Z18" s="181">
        <v>14</v>
      </c>
      <c r="AA18" s="184">
        <v>48110</v>
      </c>
      <c r="AB18" s="180" t="str">
        <f t="shared" si="9"/>
        <v>A42</v>
      </c>
      <c r="AC18" s="181">
        <v>14</v>
      </c>
      <c r="AD18" s="184">
        <v>51110</v>
      </c>
      <c r="AE18" s="180" t="str">
        <f t="shared" si="10"/>
        <v>A43</v>
      </c>
      <c r="AF18" s="181">
        <v>14</v>
      </c>
      <c r="AG18" s="184">
        <v>54110</v>
      </c>
      <c r="AH18" s="180" t="str">
        <f t="shared" si="11"/>
        <v>A51</v>
      </c>
      <c r="AI18" s="181">
        <v>14</v>
      </c>
      <c r="AJ18" s="184">
        <v>55900</v>
      </c>
      <c r="AK18" s="180" t="str">
        <f t="shared" si="12"/>
        <v>A52</v>
      </c>
      <c r="AL18" s="181">
        <v>14</v>
      </c>
      <c r="AM18" s="184">
        <v>58900</v>
      </c>
      <c r="AN18" s="180" t="str">
        <f t="shared" si="13"/>
        <v>A53</v>
      </c>
      <c r="AO18" s="181">
        <v>14</v>
      </c>
      <c r="AP18" s="184">
        <v>61900</v>
      </c>
      <c r="AQ18" s="180" t="str">
        <f t="shared" si="14"/>
        <v>BB1</v>
      </c>
      <c r="AR18" s="181">
        <v>14</v>
      </c>
      <c r="AS18" s="184">
        <v>20174.29</v>
      </c>
      <c r="AT18" s="180" t="str">
        <f t="shared" si="15"/>
        <v>BB2</v>
      </c>
      <c r="AU18" s="181">
        <v>14</v>
      </c>
      <c r="AV18" s="184">
        <v>22433.39</v>
      </c>
      <c r="AW18" s="180" t="str">
        <f t="shared" si="16"/>
        <v>BB3</v>
      </c>
      <c r="AX18" s="288">
        <v>14</v>
      </c>
      <c r="AY18" s="184">
        <v>24469.74</v>
      </c>
      <c r="AZ18" s="180" t="str">
        <f t="shared" si="17"/>
        <v>BB4</v>
      </c>
      <c r="BA18" s="288">
        <v>14</v>
      </c>
      <c r="BB18" s="184">
        <v>26000.84</v>
      </c>
      <c r="BC18" s="180" t="str">
        <f t="shared" si="18"/>
        <v>B1A</v>
      </c>
      <c r="BD18" s="288">
        <v>14</v>
      </c>
      <c r="BE18" s="184">
        <v>20174.29</v>
      </c>
      <c r="BF18" s="180" t="str">
        <f t="shared" si="19"/>
        <v>B2A</v>
      </c>
      <c r="BG18" s="288">
        <v>14</v>
      </c>
      <c r="BH18" s="184">
        <v>22924.5</v>
      </c>
      <c r="BI18" s="180" t="str">
        <f t="shared" si="20"/>
        <v>B3A</v>
      </c>
      <c r="BJ18" s="288">
        <v>14</v>
      </c>
      <c r="BK18" s="184">
        <v>24949.99</v>
      </c>
      <c r="BL18" s="180" t="str">
        <f t="shared" si="21"/>
        <v>B4A</v>
      </c>
      <c r="BM18" s="288">
        <v>14</v>
      </c>
      <c r="BN18" s="184">
        <v>26000.84</v>
      </c>
      <c r="BO18" s="180" t="str">
        <f t="shared" si="22"/>
        <v>B1B</v>
      </c>
      <c r="BP18" s="288">
        <v>14</v>
      </c>
      <c r="BQ18" s="184">
        <v>21079.5</v>
      </c>
      <c r="BR18" s="180" t="str">
        <f t="shared" si="23"/>
        <v>B2B</v>
      </c>
      <c r="BS18" s="288">
        <v>14</v>
      </c>
      <c r="BT18" s="184">
        <v>24079.5</v>
      </c>
      <c r="BU18" s="180" t="str">
        <f t="shared" si="24"/>
        <v>B3B</v>
      </c>
      <c r="BV18" s="288">
        <v>14</v>
      </c>
      <c r="BW18" s="184">
        <v>27079.5</v>
      </c>
      <c r="BX18" s="180" t="str">
        <f t="shared" si="25"/>
        <v>B4B</v>
      </c>
      <c r="BY18" s="288">
        <v>14</v>
      </c>
      <c r="BZ18" s="184">
        <v>28643.5</v>
      </c>
      <c r="CA18" s="180" t="str">
        <f t="shared" si="26"/>
        <v>B1C</v>
      </c>
      <c r="CB18" s="288">
        <v>14</v>
      </c>
      <c r="CC18" s="184">
        <v>20174.29</v>
      </c>
      <c r="CD18" s="180" t="str">
        <f t="shared" si="27"/>
        <v>B2C</v>
      </c>
      <c r="CE18" s="288">
        <v>14</v>
      </c>
      <c r="CF18" s="184">
        <v>22433.39</v>
      </c>
      <c r="CG18" s="180" t="str">
        <f t="shared" si="28"/>
        <v>B3C</v>
      </c>
      <c r="CH18" s="288">
        <v>14</v>
      </c>
      <c r="CI18" s="184">
        <v>24469.74</v>
      </c>
      <c r="CJ18" s="180" t="str">
        <f t="shared" si="29"/>
        <v>B4C</v>
      </c>
      <c r="CK18" s="288">
        <v>14</v>
      </c>
      <c r="CL18" s="183">
        <v>26000.84</v>
      </c>
      <c r="CM18" s="180" t="str">
        <f t="shared" si="30"/>
        <v>B1D</v>
      </c>
      <c r="CN18" s="288">
        <v>14</v>
      </c>
      <c r="CO18" s="184">
        <v>20609.5</v>
      </c>
      <c r="CP18" s="180" t="str">
        <f t="shared" si="31"/>
        <v>B2D</v>
      </c>
      <c r="CQ18" s="288">
        <v>14</v>
      </c>
      <c r="CR18" s="184">
        <v>23109.5</v>
      </c>
      <c r="CS18" s="180" t="str">
        <f t="shared" si="32"/>
        <v>B3D</v>
      </c>
      <c r="CT18" s="288">
        <v>14</v>
      </c>
      <c r="CU18" s="184">
        <v>25114.5</v>
      </c>
      <c r="CV18" s="180" t="str">
        <f t="shared" si="33"/>
        <v>B4D</v>
      </c>
      <c r="CW18" s="288">
        <v>14</v>
      </c>
      <c r="CX18" s="183">
        <v>27119.5</v>
      </c>
      <c r="CY18" s="16"/>
    </row>
    <row r="19" spans="1:103" x14ac:dyDescent="0.2">
      <c r="A19" s="180" t="str">
        <f t="shared" si="0"/>
        <v>A11</v>
      </c>
      <c r="B19" s="181">
        <v>15</v>
      </c>
      <c r="C19" s="183">
        <v>28555</v>
      </c>
      <c r="D19" s="180" t="str">
        <f t="shared" si="1"/>
        <v>A12</v>
      </c>
      <c r="E19" s="181">
        <v>15</v>
      </c>
      <c r="F19" s="184">
        <v>30555</v>
      </c>
      <c r="G19" s="180" t="str">
        <f t="shared" si="2"/>
        <v>A21</v>
      </c>
      <c r="H19" s="181">
        <v>15</v>
      </c>
      <c r="I19" s="184">
        <v>33080</v>
      </c>
      <c r="J19" s="180" t="str">
        <f t="shared" si="3"/>
        <v>A22</v>
      </c>
      <c r="K19" s="181">
        <v>15</v>
      </c>
      <c r="L19" s="184">
        <v>36080</v>
      </c>
      <c r="M19" s="180" t="str">
        <f t="shared" si="4"/>
        <v>A23</v>
      </c>
      <c r="N19" s="181">
        <v>15</v>
      </c>
      <c r="O19" s="184">
        <v>39080</v>
      </c>
      <c r="P19" s="180" t="str">
        <f t="shared" si="5"/>
        <v>A31</v>
      </c>
      <c r="Q19" s="181">
        <v>15</v>
      </c>
      <c r="R19" s="184">
        <v>40180</v>
      </c>
      <c r="S19" s="180" t="str">
        <f t="shared" si="6"/>
        <v>A32</v>
      </c>
      <c r="T19" s="181">
        <v>15</v>
      </c>
      <c r="U19" s="184">
        <v>43680</v>
      </c>
      <c r="V19" s="180" t="str">
        <f t="shared" si="7"/>
        <v>A33</v>
      </c>
      <c r="W19" s="181">
        <v>15</v>
      </c>
      <c r="X19" s="184">
        <v>46680</v>
      </c>
      <c r="Y19" s="180" t="str">
        <f t="shared" si="8"/>
        <v>A41</v>
      </c>
      <c r="Z19" s="181">
        <v>15</v>
      </c>
      <c r="AA19" s="184">
        <v>48720</v>
      </c>
      <c r="AB19" s="180" t="str">
        <f t="shared" si="9"/>
        <v>A42</v>
      </c>
      <c r="AC19" s="181">
        <v>15</v>
      </c>
      <c r="AD19" s="184">
        <v>51720</v>
      </c>
      <c r="AE19" s="180" t="str">
        <f t="shared" si="10"/>
        <v>A43</v>
      </c>
      <c r="AF19" s="181">
        <v>15</v>
      </c>
      <c r="AG19" s="184">
        <v>54720</v>
      </c>
      <c r="AH19" s="180" t="str">
        <f t="shared" si="11"/>
        <v>A51</v>
      </c>
      <c r="AI19" s="181">
        <v>15</v>
      </c>
      <c r="AJ19" s="184">
        <v>56510</v>
      </c>
      <c r="AK19" s="180" t="str">
        <f t="shared" si="12"/>
        <v>A52</v>
      </c>
      <c r="AL19" s="181">
        <v>15</v>
      </c>
      <c r="AM19" s="184">
        <v>59510</v>
      </c>
      <c r="AN19" s="180" t="str">
        <f t="shared" si="13"/>
        <v>A53</v>
      </c>
      <c r="AO19" s="181">
        <v>15</v>
      </c>
      <c r="AP19" s="184">
        <v>62510</v>
      </c>
      <c r="AQ19" s="180" t="str">
        <f t="shared" si="14"/>
        <v>BB1</v>
      </c>
      <c r="AR19" s="181">
        <v>15</v>
      </c>
      <c r="AS19" s="184">
        <v>20666.48</v>
      </c>
      <c r="AT19" s="180" t="str">
        <f t="shared" si="15"/>
        <v>BB2</v>
      </c>
      <c r="AU19" s="181">
        <v>15</v>
      </c>
      <c r="AV19" s="184">
        <v>22925.58</v>
      </c>
      <c r="AW19" s="180" t="str">
        <f t="shared" si="16"/>
        <v>BB3</v>
      </c>
      <c r="AX19" s="288">
        <v>15</v>
      </c>
      <c r="AY19" s="184">
        <v>24999.72</v>
      </c>
      <c r="AZ19" s="180" t="str">
        <f t="shared" si="17"/>
        <v>BB4</v>
      </c>
      <c r="BA19" s="288">
        <v>15</v>
      </c>
      <c r="BB19" s="184">
        <v>26849.88</v>
      </c>
      <c r="BC19" s="180" t="str">
        <f t="shared" si="18"/>
        <v>B1A</v>
      </c>
      <c r="BD19" s="288">
        <v>15</v>
      </c>
      <c r="BE19" s="184">
        <v>20666.48</v>
      </c>
      <c r="BF19" s="180" t="str">
        <f t="shared" si="19"/>
        <v>B2A</v>
      </c>
      <c r="BG19" s="288">
        <v>15</v>
      </c>
      <c r="BH19" s="184">
        <v>23296.5</v>
      </c>
      <c r="BI19" s="180" t="str">
        <f t="shared" si="20"/>
        <v>B3A</v>
      </c>
      <c r="BJ19" s="288">
        <v>15</v>
      </c>
      <c r="BK19" s="184">
        <v>25574.26</v>
      </c>
      <c r="BL19" s="180" t="str">
        <f t="shared" si="21"/>
        <v>B4A</v>
      </c>
      <c r="BM19" s="288">
        <v>15</v>
      </c>
      <c r="BN19" s="184">
        <v>26849.88</v>
      </c>
      <c r="BO19" s="180" t="str">
        <f t="shared" si="22"/>
        <v>B1B</v>
      </c>
      <c r="BP19" s="288">
        <v>15</v>
      </c>
      <c r="BQ19" s="184">
        <v>21704.5</v>
      </c>
      <c r="BR19" s="180" t="str">
        <f t="shared" si="23"/>
        <v>B2B</v>
      </c>
      <c r="BS19" s="288">
        <v>15</v>
      </c>
      <c r="BT19" s="184">
        <v>24704.5</v>
      </c>
      <c r="BU19" s="180" t="str">
        <f t="shared" si="24"/>
        <v>B3B</v>
      </c>
      <c r="BV19" s="288">
        <v>15</v>
      </c>
      <c r="BW19" s="184">
        <v>27704.5</v>
      </c>
      <c r="BX19" s="180" t="str">
        <f t="shared" si="25"/>
        <v>B4B</v>
      </c>
      <c r="BY19" s="288">
        <v>15</v>
      </c>
      <c r="BZ19" s="184">
        <v>29635.5</v>
      </c>
      <c r="CA19" s="180" t="str">
        <f t="shared" si="26"/>
        <v>B1C</v>
      </c>
      <c r="CB19" s="288">
        <v>15</v>
      </c>
      <c r="CC19" s="184">
        <v>20666.48</v>
      </c>
      <c r="CD19" s="180" t="str">
        <f t="shared" si="27"/>
        <v>B2C</v>
      </c>
      <c r="CE19" s="288">
        <v>15</v>
      </c>
      <c r="CF19" s="184">
        <v>22925.58</v>
      </c>
      <c r="CG19" s="180" t="str">
        <f t="shared" si="28"/>
        <v>B3C</v>
      </c>
      <c r="CH19" s="288">
        <v>15</v>
      </c>
      <c r="CI19" s="184">
        <v>24999.72</v>
      </c>
      <c r="CJ19" s="180" t="str">
        <f t="shared" si="29"/>
        <v>B4C</v>
      </c>
      <c r="CK19" s="288">
        <v>15</v>
      </c>
      <c r="CL19" s="183">
        <v>26849.88</v>
      </c>
      <c r="CM19" s="180" t="str">
        <f t="shared" si="30"/>
        <v>B1D</v>
      </c>
      <c r="CN19" s="288">
        <v>15</v>
      </c>
      <c r="CO19" s="184">
        <v>21234.5</v>
      </c>
      <c r="CP19" s="180" t="str">
        <f t="shared" si="31"/>
        <v>B2D</v>
      </c>
      <c r="CQ19" s="288">
        <v>15</v>
      </c>
      <c r="CR19" s="184">
        <v>23734.5</v>
      </c>
      <c r="CS19" s="180" t="str">
        <f t="shared" si="32"/>
        <v>B3D</v>
      </c>
      <c r="CT19" s="288">
        <v>15</v>
      </c>
      <c r="CU19" s="184">
        <v>25823.5</v>
      </c>
      <c r="CV19" s="180" t="str">
        <f t="shared" si="33"/>
        <v>B4D</v>
      </c>
      <c r="CW19" s="288">
        <v>15</v>
      </c>
      <c r="CX19" s="183">
        <v>27912.5</v>
      </c>
      <c r="CY19" s="16"/>
    </row>
    <row r="20" spans="1:103" x14ac:dyDescent="0.2">
      <c r="A20" s="180" t="str">
        <f t="shared" si="0"/>
        <v>A11</v>
      </c>
      <c r="B20" s="181">
        <v>16</v>
      </c>
      <c r="C20" s="183">
        <v>29000</v>
      </c>
      <c r="D20" s="180" t="str">
        <f t="shared" si="1"/>
        <v>A12</v>
      </c>
      <c r="E20" s="181">
        <v>16</v>
      </c>
      <c r="F20" s="184">
        <v>31000</v>
      </c>
      <c r="G20" s="180" t="str">
        <f t="shared" si="2"/>
        <v>A21</v>
      </c>
      <c r="H20" s="181">
        <v>16</v>
      </c>
      <c r="I20" s="184">
        <v>33560</v>
      </c>
      <c r="J20" s="180" t="str">
        <f t="shared" si="3"/>
        <v>A22</v>
      </c>
      <c r="K20" s="181">
        <v>16</v>
      </c>
      <c r="L20" s="184">
        <v>36560</v>
      </c>
      <c r="M20" s="180" t="str">
        <f t="shared" si="4"/>
        <v>A23</v>
      </c>
      <c r="N20" s="181">
        <v>16</v>
      </c>
      <c r="O20" s="184">
        <v>39560</v>
      </c>
      <c r="P20" s="180" t="str">
        <f t="shared" si="5"/>
        <v>A31</v>
      </c>
      <c r="Q20" s="181">
        <v>16</v>
      </c>
      <c r="R20" s="184">
        <v>40700</v>
      </c>
      <c r="S20" s="180" t="str">
        <f t="shared" si="6"/>
        <v>A32</v>
      </c>
      <c r="T20" s="181">
        <v>16</v>
      </c>
      <c r="U20" s="184">
        <v>44200</v>
      </c>
      <c r="V20" s="180" t="str">
        <f t="shared" si="7"/>
        <v>A33</v>
      </c>
      <c r="W20" s="181">
        <v>16</v>
      </c>
      <c r="X20" s="184">
        <v>47200</v>
      </c>
      <c r="Y20" s="180" t="str">
        <f t="shared" si="8"/>
        <v>A41</v>
      </c>
      <c r="Z20" s="181">
        <v>16</v>
      </c>
      <c r="AA20" s="184">
        <v>49330</v>
      </c>
      <c r="AB20" s="180" t="str">
        <f t="shared" si="9"/>
        <v>A42</v>
      </c>
      <c r="AC20" s="181">
        <v>16</v>
      </c>
      <c r="AD20" s="184">
        <v>52330</v>
      </c>
      <c r="AE20" s="180" t="str">
        <f t="shared" si="10"/>
        <v>A43</v>
      </c>
      <c r="AF20" s="181">
        <v>16</v>
      </c>
      <c r="AG20" s="184">
        <v>55330</v>
      </c>
      <c r="AH20" s="180" t="str">
        <f t="shared" si="11"/>
        <v>A51</v>
      </c>
      <c r="AI20" s="181">
        <v>16</v>
      </c>
      <c r="AJ20" s="184">
        <v>57120</v>
      </c>
      <c r="AK20" s="180" t="str">
        <f t="shared" si="12"/>
        <v>A52</v>
      </c>
      <c r="AL20" s="181">
        <v>16</v>
      </c>
      <c r="AM20" s="184">
        <v>60120</v>
      </c>
      <c r="AN20" s="180" t="str">
        <f t="shared" si="13"/>
        <v>A53</v>
      </c>
      <c r="AO20" s="181">
        <v>16</v>
      </c>
      <c r="AP20" s="184">
        <v>63120</v>
      </c>
      <c r="AQ20" s="180" t="str">
        <f t="shared" si="14"/>
        <v>BB1</v>
      </c>
      <c r="AR20" s="181">
        <v>16</v>
      </c>
      <c r="AS20" s="184">
        <v>20666.48</v>
      </c>
      <c r="AT20" s="180" t="str">
        <f t="shared" si="15"/>
        <v>BB2</v>
      </c>
      <c r="AU20" s="181">
        <v>16</v>
      </c>
      <c r="AV20" s="184">
        <v>22925.58</v>
      </c>
      <c r="AW20" s="180" t="str">
        <f t="shared" si="16"/>
        <v>BB3</v>
      </c>
      <c r="AX20" s="288">
        <v>16</v>
      </c>
      <c r="AY20" s="184">
        <v>24999.72</v>
      </c>
      <c r="AZ20" s="180" t="str">
        <f t="shared" si="17"/>
        <v>BB4</v>
      </c>
      <c r="BA20" s="288">
        <v>16</v>
      </c>
      <c r="BB20" s="184">
        <v>26849.88</v>
      </c>
      <c r="BC20" s="180" t="str">
        <f t="shared" si="18"/>
        <v>B1A</v>
      </c>
      <c r="BD20" s="288">
        <v>16</v>
      </c>
      <c r="BE20" s="184">
        <v>20666.48</v>
      </c>
      <c r="BF20" s="180" t="str">
        <f t="shared" si="19"/>
        <v>B2A</v>
      </c>
      <c r="BG20" s="288">
        <v>16</v>
      </c>
      <c r="BH20" s="184">
        <v>23296.5</v>
      </c>
      <c r="BI20" s="180" t="str">
        <f t="shared" si="20"/>
        <v>B3A</v>
      </c>
      <c r="BJ20" s="288">
        <v>16</v>
      </c>
      <c r="BK20" s="184">
        <v>25574.26</v>
      </c>
      <c r="BL20" s="180" t="str">
        <f t="shared" si="21"/>
        <v>B4A</v>
      </c>
      <c r="BM20" s="288">
        <v>16</v>
      </c>
      <c r="BN20" s="184">
        <v>26849.88</v>
      </c>
      <c r="BO20" s="180" t="str">
        <f t="shared" si="22"/>
        <v>B1B</v>
      </c>
      <c r="BP20" s="288">
        <v>16</v>
      </c>
      <c r="BQ20" s="184">
        <v>21704.5</v>
      </c>
      <c r="BR20" s="180" t="str">
        <f t="shared" si="23"/>
        <v>B2B</v>
      </c>
      <c r="BS20" s="288">
        <v>16</v>
      </c>
      <c r="BT20" s="184">
        <v>24704.5</v>
      </c>
      <c r="BU20" s="180" t="str">
        <f t="shared" si="24"/>
        <v>B3B</v>
      </c>
      <c r="BV20" s="288">
        <v>16</v>
      </c>
      <c r="BW20" s="184">
        <v>27704.5</v>
      </c>
      <c r="BX20" s="180" t="str">
        <f t="shared" si="25"/>
        <v>B4B</v>
      </c>
      <c r="BY20" s="288">
        <v>16</v>
      </c>
      <c r="BZ20" s="184">
        <v>29635.5</v>
      </c>
      <c r="CA20" s="180" t="str">
        <f t="shared" si="26"/>
        <v>B1C</v>
      </c>
      <c r="CB20" s="288">
        <v>16</v>
      </c>
      <c r="CC20" s="184">
        <v>20666.48</v>
      </c>
      <c r="CD20" s="180" t="str">
        <f t="shared" si="27"/>
        <v>B2C</v>
      </c>
      <c r="CE20" s="288">
        <v>16</v>
      </c>
      <c r="CF20" s="184">
        <v>22925.58</v>
      </c>
      <c r="CG20" s="180" t="str">
        <f t="shared" si="28"/>
        <v>B3C</v>
      </c>
      <c r="CH20" s="288">
        <v>16</v>
      </c>
      <c r="CI20" s="184">
        <v>24999.72</v>
      </c>
      <c r="CJ20" s="180" t="str">
        <f t="shared" si="29"/>
        <v>B4C</v>
      </c>
      <c r="CK20" s="288">
        <v>16</v>
      </c>
      <c r="CL20" s="183">
        <v>26849.88</v>
      </c>
      <c r="CM20" s="180" t="str">
        <f t="shared" si="30"/>
        <v>B1D</v>
      </c>
      <c r="CN20" s="288">
        <v>16</v>
      </c>
      <c r="CO20" s="184">
        <v>21234.5</v>
      </c>
      <c r="CP20" s="180" t="str">
        <f t="shared" si="31"/>
        <v>B2D</v>
      </c>
      <c r="CQ20" s="288">
        <v>16</v>
      </c>
      <c r="CR20" s="184">
        <v>23734.5</v>
      </c>
      <c r="CS20" s="180" t="str">
        <f t="shared" si="32"/>
        <v>B3D</v>
      </c>
      <c r="CT20" s="288">
        <v>16</v>
      </c>
      <c r="CU20" s="184">
        <v>25823.5</v>
      </c>
      <c r="CV20" s="180" t="str">
        <f t="shared" si="33"/>
        <v>B4D</v>
      </c>
      <c r="CW20" s="288">
        <v>16</v>
      </c>
      <c r="CX20" s="183">
        <v>27912.5</v>
      </c>
      <c r="CY20" s="16"/>
    </row>
    <row r="21" spans="1:103" x14ac:dyDescent="0.2">
      <c r="A21" s="180" t="str">
        <f t="shared" si="0"/>
        <v>A11</v>
      </c>
      <c r="B21" s="181">
        <v>17</v>
      </c>
      <c r="C21" s="183">
        <v>29445</v>
      </c>
      <c r="D21" s="180" t="str">
        <f t="shared" si="1"/>
        <v>A12</v>
      </c>
      <c r="E21" s="181">
        <v>17</v>
      </c>
      <c r="F21" s="184">
        <v>31445</v>
      </c>
      <c r="G21" s="180" t="str">
        <f t="shared" si="2"/>
        <v>A21</v>
      </c>
      <c r="H21" s="181">
        <v>17</v>
      </c>
      <c r="I21" s="184">
        <v>34040</v>
      </c>
      <c r="J21" s="180" t="str">
        <f t="shared" si="3"/>
        <v>A22</v>
      </c>
      <c r="K21" s="181">
        <v>17</v>
      </c>
      <c r="L21" s="184">
        <v>37040</v>
      </c>
      <c r="M21" s="180" t="str">
        <f t="shared" si="4"/>
        <v>A23</v>
      </c>
      <c r="N21" s="181">
        <v>17</v>
      </c>
      <c r="O21" s="184">
        <v>40040</v>
      </c>
      <c r="P21" s="180" t="str">
        <f t="shared" si="5"/>
        <v>A31</v>
      </c>
      <c r="Q21" s="181">
        <v>17</v>
      </c>
      <c r="R21" s="184">
        <v>41220</v>
      </c>
      <c r="S21" s="180" t="str">
        <f t="shared" si="6"/>
        <v>A32</v>
      </c>
      <c r="T21" s="181">
        <v>17</v>
      </c>
      <c r="U21" s="184">
        <v>44720</v>
      </c>
      <c r="V21" s="180" t="str">
        <f t="shared" si="7"/>
        <v>A33</v>
      </c>
      <c r="W21" s="181">
        <v>17</v>
      </c>
      <c r="X21" s="184">
        <v>47720</v>
      </c>
      <c r="Y21" s="180" t="str">
        <f t="shared" si="8"/>
        <v>A41</v>
      </c>
      <c r="Z21" s="181">
        <v>17</v>
      </c>
      <c r="AA21" s="184">
        <v>49940</v>
      </c>
      <c r="AB21" s="180" t="str">
        <f t="shared" si="9"/>
        <v>A42</v>
      </c>
      <c r="AC21" s="181">
        <v>17</v>
      </c>
      <c r="AD21" s="184">
        <v>52940</v>
      </c>
      <c r="AE21" s="180" t="str">
        <f t="shared" si="10"/>
        <v>A43</v>
      </c>
      <c r="AF21" s="181">
        <v>17</v>
      </c>
      <c r="AG21" s="184">
        <v>55940</v>
      </c>
      <c r="AH21" s="180" t="str">
        <f t="shared" si="11"/>
        <v>A51</v>
      </c>
      <c r="AI21" s="181">
        <v>17</v>
      </c>
      <c r="AJ21" s="184">
        <v>57730</v>
      </c>
      <c r="AK21" s="180" t="str">
        <f t="shared" si="12"/>
        <v>A52</v>
      </c>
      <c r="AL21" s="181">
        <v>17</v>
      </c>
      <c r="AM21" s="184">
        <v>60730</v>
      </c>
      <c r="AN21" s="180" t="str">
        <f t="shared" si="13"/>
        <v>A53</v>
      </c>
      <c r="AO21" s="181">
        <v>17</v>
      </c>
      <c r="AP21" s="184">
        <v>63730</v>
      </c>
      <c r="AQ21" s="180" t="str">
        <f t="shared" si="14"/>
        <v>BB1</v>
      </c>
      <c r="AR21" s="181">
        <v>17</v>
      </c>
      <c r="AS21" s="184">
        <v>21158.67</v>
      </c>
      <c r="AT21" s="180" t="str">
        <f t="shared" si="15"/>
        <v>BB2</v>
      </c>
      <c r="AU21" s="181">
        <v>17</v>
      </c>
      <c r="AV21" s="184">
        <v>23417.77</v>
      </c>
      <c r="AW21" s="180" t="str">
        <f t="shared" si="16"/>
        <v>BB3</v>
      </c>
      <c r="AX21" s="288">
        <v>17</v>
      </c>
      <c r="AY21" s="184">
        <v>25529.71</v>
      </c>
      <c r="AZ21" s="180" t="str">
        <f t="shared" si="17"/>
        <v>BB4</v>
      </c>
      <c r="BA21" s="288">
        <v>17</v>
      </c>
      <c r="BB21" s="184">
        <v>27698.93</v>
      </c>
      <c r="BC21" s="180" t="str">
        <f t="shared" si="18"/>
        <v>B1A</v>
      </c>
      <c r="BD21" s="288">
        <v>17</v>
      </c>
      <c r="BE21" s="184">
        <v>21158.67</v>
      </c>
      <c r="BF21" s="180" t="str">
        <f t="shared" si="19"/>
        <v>B2A</v>
      </c>
      <c r="BG21" s="288">
        <v>17</v>
      </c>
      <c r="BH21" s="184">
        <v>23668.5</v>
      </c>
      <c r="BI21" s="180" t="str">
        <f t="shared" si="20"/>
        <v>B3A</v>
      </c>
      <c r="BJ21" s="288">
        <v>17</v>
      </c>
      <c r="BK21" s="184">
        <v>26198.53</v>
      </c>
      <c r="BL21" s="180" t="str">
        <f t="shared" si="21"/>
        <v>B4A</v>
      </c>
      <c r="BM21" s="288">
        <v>17</v>
      </c>
      <c r="BN21" s="184">
        <v>27698.93</v>
      </c>
      <c r="BO21" s="180" t="str">
        <f t="shared" si="22"/>
        <v>B1B</v>
      </c>
      <c r="BP21" s="288">
        <v>17</v>
      </c>
      <c r="BQ21" s="184">
        <v>22329.5</v>
      </c>
      <c r="BR21" s="180" t="str">
        <f t="shared" si="23"/>
        <v>B2B</v>
      </c>
      <c r="BS21" s="288">
        <v>17</v>
      </c>
      <c r="BT21" s="184">
        <v>25329.5</v>
      </c>
      <c r="BU21" s="180" t="str">
        <f t="shared" si="24"/>
        <v>B3B</v>
      </c>
      <c r="BV21" s="288">
        <v>17</v>
      </c>
      <c r="BW21" s="184">
        <v>28329.5</v>
      </c>
      <c r="BX21" s="180" t="str">
        <f t="shared" si="25"/>
        <v>B4B</v>
      </c>
      <c r="BY21" s="288">
        <v>17</v>
      </c>
      <c r="BZ21" s="184">
        <v>30379.5</v>
      </c>
      <c r="CA21" s="180" t="str">
        <f t="shared" si="26"/>
        <v>B1C</v>
      </c>
      <c r="CB21" s="288">
        <v>17</v>
      </c>
      <c r="CC21" s="184">
        <v>21158.67</v>
      </c>
      <c r="CD21" s="180" t="str">
        <f t="shared" si="27"/>
        <v>B2C</v>
      </c>
      <c r="CE21" s="288">
        <v>17</v>
      </c>
      <c r="CF21" s="184">
        <v>23417.77</v>
      </c>
      <c r="CG21" s="180" t="str">
        <f t="shared" si="28"/>
        <v>B3C</v>
      </c>
      <c r="CH21" s="288">
        <v>17</v>
      </c>
      <c r="CI21" s="184">
        <v>25529.71</v>
      </c>
      <c r="CJ21" s="180" t="str">
        <f t="shared" si="29"/>
        <v>B4C</v>
      </c>
      <c r="CK21" s="288">
        <v>17</v>
      </c>
      <c r="CL21" s="183">
        <v>27698.93</v>
      </c>
      <c r="CM21" s="180" t="str">
        <f t="shared" si="30"/>
        <v>B1D</v>
      </c>
      <c r="CN21" s="288">
        <v>17</v>
      </c>
      <c r="CO21" s="184">
        <v>21859.5</v>
      </c>
      <c r="CP21" s="180" t="str">
        <f t="shared" si="31"/>
        <v>B2D</v>
      </c>
      <c r="CQ21" s="288">
        <v>17</v>
      </c>
      <c r="CR21" s="184">
        <v>24359.5</v>
      </c>
      <c r="CS21" s="180" t="str">
        <f t="shared" si="32"/>
        <v>B3D</v>
      </c>
      <c r="CT21" s="288">
        <v>17</v>
      </c>
      <c r="CU21" s="184">
        <v>26532.5</v>
      </c>
      <c r="CV21" s="180" t="str">
        <f t="shared" si="33"/>
        <v>B4D</v>
      </c>
      <c r="CW21" s="288">
        <v>17</v>
      </c>
      <c r="CX21" s="183">
        <v>28705.5</v>
      </c>
      <c r="CY21" s="16"/>
    </row>
    <row r="22" spans="1:103" x14ac:dyDescent="0.2">
      <c r="A22" s="180" t="str">
        <f t="shared" si="0"/>
        <v>A11</v>
      </c>
      <c r="B22" s="181">
        <v>18</v>
      </c>
      <c r="C22" s="183">
        <v>29890</v>
      </c>
      <c r="D22" s="180" t="str">
        <f t="shared" si="1"/>
        <v>A12</v>
      </c>
      <c r="E22" s="181">
        <v>18</v>
      </c>
      <c r="F22" s="184">
        <v>31890</v>
      </c>
      <c r="G22" s="180" t="str">
        <f t="shared" si="2"/>
        <v>A21</v>
      </c>
      <c r="H22" s="181">
        <v>18</v>
      </c>
      <c r="I22" s="184">
        <v>34520</v>
      </c>
      <c r="J22" s="180" t="str">
        <f t="shared" si="3"/>
        <v>A22</v>
      </c>
      <c r="K22" s="181">
        <v>18</v>
      </c>
      <c r="L22" s="184">
        <v>37520</v>
      </c>
      <c r="M22" s="180" t="str">
        <f t="shared" si="4"/>
        <v>A23</v>
      </c>
      <c r="N22" s="181">
        <v>18</v>
      </c>
      <c r="O22" s="184">
        <v>40520</v>
      </c>
      <c r="P22" s="180" t="str">
        <f t="shared" si="5"/>
        <v>A31</v>
      </c>
      <c r="Q22" s="181">
        <v>18</v>
      </c>
      <c r="R22" s="184">
        <v>41740</v>
      </c>
      <c r="S22" s="180" t="str">
        <f t="shared" si="6"/>
        <v>A32</v>
      </c>
      <c r="T22" s="181">
        <v>18</v>
      </c>
      <c r="U22" s="184">
        <v>45240</v>
      </c>
      <c r="V22" s="180" t="str">
        <f t="shared" si="7"/>
        <v>A33</v>
      </c>
      <c r="W22" s="181">
        <v>18</v>
      </c>
      <c r="X22" s="184">
        <v>48240</v>
      </c>
      <c r="Y22" s="180" t="str">
        <f t="shared" si="8"/>
        <v>A41</v>
      </c>
      <c r="Z22" s="181">
        <v>18</v>
      </c>
      <c r="AA22" s="184">
        <v>50550</v>
      </c>
      <c r="AB22" s="180" t="str">
        <f t="shared" si="9"/>
        <v>A42</v>
      </c>
      <c r="AC22" s="181">
        <v>18</v>
      </c>
      <c r="AD22" s="184">
        <v>53550</v>
      </c>
      <c r="AE22" s="180" t="str">
        <f t="shared" si="10"/>
        <v>A43</v>
      </c>
      <c r="AF22" s="181">
        <v>18</v>
      </c>
      <c r="AG22" s="184">
        <v>56550</v>
      </c>
      <c r="AH22" s="180" t="str">
        <f t="shared" si="11"/>
        <v>A51</v>
      </c>
      <c r="AI22" s="181">
        <v>18</v>
      </c>
      <c r="AJ22" s="184">
        <v>58340</v>
      </c>
      <c r="AK22" s="180" t="str">
        <f t="shared" si="12"/>
        <v>A52</v>
      </c>
      <c r="AL22" s="181">
        <v>18</v>
      </c>
      <c r="AM22" s="184">
        <v>61340</v>
      </c>
      <c r="AN22" s="180" t="str">
        <f t="shared" si="13"/>
        <v>A53</v>
      </c>
      <c r="AO22" s="181">
        <v>18</v>
      </c>
      <c r="AP22" s="184">
        <v>64340</v>
      </c>
      <c r="AQ22" s="180" t="str">
        <f t="shared" si="14"/>
        <v>BB1</v>
      </c>
      <c r="AR22" s="181">
        <v>18</v>
      </c>
      <c r="AS22" s="184">
        <v>21158.67</v>
      </c>
      <c r="AT22" s="180" t="str">
        <f t="shared" si="15"/>
        <v>BB2</v>
      </c>
      <c r="AU22" s="181">
        <v>18</v>
      </c>
      <c r="AV22" s="184">
        <v>23417.77</v>
      </c>
      <c r="AW22" s="180" t="str">
        <f t="shared" si="16"/>
        <v>BB3</v>
      </c>
      <c r="AX22" s="288">
        <v>18</v>
      </c>
      <c r="AY22" s="184">
        <v>25529.71</v>
      </c>
      <c r="AZ22" s="180" t="str">
        <f t="shared" si="17"/>
        <v>BB4</v>
      </c>
      <c r="BA22" s="288">
        <v>18</v>
      </c>
      <c r="BB22" s="184">
        <v>27698.93</v>
      </c>
      <c r="BC22" s="180" t="str">
        <f t="shared" si="18"/>
        <v>B1A</v>
      </c>
      <c r="BD22" s="288">
        <v>18</v>
      </c>
      <c r="BE22" s="184">
        <v>21158.67</v>
      </c>
      <c r="BF22" s="180" t="str">
        <f t="shared" si="19"/>
        <v>B2A</v>
      </c>
      <c r="BG22" s="288">
        <v>18</v>
      </c>
      <c r="BH22" s="184">
        <v>23668.5</v>
      </c>
      <c r="BI22" s="180" t="str">
        <f t="shared" si="20"/>
        <v>B3A</v>
      </c>
      <c r="BJ22" s="288">
        <v>18</v>
      </c>
      <c r="BK22" s="184">
        <v>26198.53</v>
      </c>
      <c r="BL22" s="180" t="str">
        <f t="shared" si="21"/>
        <v>B4A</v>
      </c>
      <c r="BM22" s="288">
        <v>18</v>
      </c>
      <c r="BN22" s="184">
        <v>27698.93</v>
      </c>
      <c r="BO22" s="180" t="str">
        <f t="shared" si="22"/>
        <v>B1B</v>
      </c>
      <c r="BP22" s="288">
        <v>18</v>
      </c>
      <c r="BQ22" s="184">
        <v>22329.5</v>
      </c>
      <c r="BR22" s="180" t="str">
        <f t="shared" si="23"/>
        <v>B2B</v>
      </c>
      <c r="BS22" s="288">
        <v>18</v>
      </c>
      <c r="BT22" s="184">
        <v>25329.5</v>
      </c>
      <c r="BU22" s="180" t="str">
        <f t="shared" si="24"/>
        <v>B3B</v>
      </c>
      <c r="BV22" s="288">
        <v>18</v>
      </c>
      <c r="BW22" s="184">
        <v>28329.5</v>
      </c>
      <c r="BX22" s="180" t="str">
        <f t="shared" si="25"/>
        <v>B4B</v>
      </c>
      <c r="BY22" s="288">
        <v>18</v>
      </c>
      <c r="BZ22" s="184">
        <v>30379.5</v>
      </c>
      <c r="CA22" s="180" t="str">
        <f t="shared" si="26"/>
        <v>B1C</v>
      </c>
      <c r="CB22" s="288">
        <v>18</v>
      </c>
      <c r="CC22" s="184">
        <v>21158.67</v>
      </c>
      <c r="CD22" s="180" t="str">
        <f t="shared" si="27"/>
        <v>B2C</v>
      </c>
      <c r="CE22" s="288">
        <v>18</v>
      </c>
      <c r="CF22" s="184">
        <v>23417.77</v>
      </c>
      <c r="CG22" s="180" t="str">
        <f t="shared" si="28"/>
        <v>B3C</v>
      </c>
      <c r="CH22" s="288">
        <v>18</v>
      </c>
      <c r="CI22" s="184">
        <v>25529.71</v>
      </c>
      <c r="CJ22" s="180" t="str">
        <f t="shared" si="29"/>
        <v>B4C</v>
      </c>
      <c r="CK22" s="288">
        <v>18</v>
      </c>
      <c r="CL22" s="183">
        <v>27698.93</v>
      </c>
      <c r="CM22" s="180" t="str">
        <f t="shared" si="30"/>
        <v>B1D</v>
      </c>
      <c r="CN22" s="288">
        <v>18</v>
      </c>
      <c r="CO22" s="184">
        <v>21859.5</v>
      </c>
      <c r="CP22" s="180" t="str">
        <f t="shared" si="31"/>
        <v>B2D</v>
      </c>
      <c r="CQ22" s="288">
        <v>18</v>
      </c>
      <c r="CR22" s="184">
        <v>24359.5</v>
      </c>
      <c r="CS22" s="180" t="str">
        <f t="shared" si="32"/>
        <v>B3D</v>
      </c>
      <c r="CT22" s="288">
        <v>18</v>
      </c>
      <c r="CU22" s="184">
        <v>26532.5</v>
      </c>
      <c r="CV22" s="180" t="str">
        <f t="shared" si="33"/>
        <v>B4D</v>
      </c>
      <c r="CW22" s="288">
        <v>18</v>
      </c>
      <c r="CX22" s="183">
        <v>28705.5</v>
      </c>
      <c r="CY22" s="16"/>
    </row>
    <row r="23" spans="1:103" x14ac:dyDescent="0.2">
      <c r="A23" s="180" t="str">
        <f t="shared" si="0"/>
        <v>A11</v>
      </c>
      <c r="B23" s="181">
        <v>19</v>
      </c>
      <c r="C23" s="183">
        <v>30335</v>
      </c>
      <c r="D23" s="180" t="str">
        <f t="shared" si="1"/>
        <v>A12</v>
      </c>
      <c r="E23" s="181">
        <v>19</v>
      </c>
      <c r="F23" s="184">
        <v>32335</v>
      </c>
      <c r="G23" s="180" t="str">
        <f t="shared" si="2"/>
        <v>A21</v>
      </c>
      <c r="H23" s="181">
        <v>19</v>
      </c>
      <c r="I23" s="184">
        <v>35000</v>
      </c>
      <c r="J23" s="180" t="str">
        <f t="shared" si="3"/>
        <v>A22</v>
      </c>
      <c r="K23" s="181">
        <v>19</v>
      </c>
      <c r="L23" s="184">
        <v>38000</v>
      </c>
      <c r="M23" s="180" t="str">
        <f t="shared" si="4"/>
        <v>A23</v>
      </c>
      <c r="N23" s="181">
        <v>19</v>
      </c>
      <c r="O23" s="184">
        <v>41000</v>
      </c>
      <c r="P23" s="180" t="str">
        <f t="shared" si="5"/>
        <v>A31</v>
      </c>
      <c r="Q23" s="181">
        <v>19</v>
      </c>
      <c r="R23" s="184">
        <v>42260</v>
      </c>
      <c r="S23" s="180" t="str">
        <f t="shared" si="6"/>
        <v>A32</v>
      </c>
      <c r="T23" s="181">
        <v>19</v>
      </c>
      <c r="U23" s="184">
        <v>45760</v>
      </c>
      <c r="V23" s="180" t="str">
        <f t="shared" si="7"/>
        <v>A33</v>
      </c>
      <c r="W23" s="181">
        <v>19</v>
      </c>
      <c r="X23" s="184">
        <v>48760</v>
      </c>
      <c r="Y23" s="180" t="str">
        <f t="shared" si="8"/>
        <v>A41</v>
      </c>
      <c r="Z23" s="181">
        <v>19</v>
      </c>
      <c r="AA23" s="184">
        <v>51160</v>
      </c>
      <c r="AB23" s="180" t="str">
        <f t="shared" si="9"/>
        <v>A42</v>
      </c>
      <c r="AC23" s="181">
        <v>19</v>
      </c>
      <c r="AD23" s="184">
        <v>54160</v>
      </c>
      <c r="AE23" s="180" t="str">
        <f t="shared" si="10"/>
        <v>A43</v>
      </c>
      <c r="AF23" s="181">
        <v>19</v>
      </c>
      <c r="AG23" s="184">
        <v>57160</v>
      </c>
      <c r="AH23" s="180" t="str">
        <f t="shared" si="11"/>
        <v>A51</v>
      </c>
      <c r="AI23" s="181">
        <v>19</v>
      </c>
      <c r="AJ23" s="184">
        <v>58950</v>
      </c>
      <c r="AK23" s="180" t="str">
        <f t="shared" si="12"/>
        <v>A52</v>
      </c>
      <c r="AL23" s="181">
        <v>19</v>
      </c>
      <c r="AM23" s="184">
        <v>61950</v>
      </c>
      <c r="AN23" s="180" t="str">
        <f t="shared" si="13"/>
        <v>A53</v>
      </c>
      <c r="AO23" s="181">
        <v>19</v>
      </c>
      <c r="AP23" s="184">
        <v>64950</v>
      </c>
      <c r="AQ23" s="180" t="str">
        <f t="shared" si="14"/>
        <v>BB1</v>
      </c>
      <c r="AR23" s="181">
        <v>19</v>
      </c>
      <c r="AS23" s="184">
        <v>21650.86</v>
      </c>
      <c r="AT23" s="180" t="str">
        <f t="shared" si="15"/>
        <v>BB2</v>
      </c>
      <c r="AU23" s="181">
        <v>19</v>
      </c>
      <c r="AV23" s="184">
        <v>23909.96</v>
      </c>
      <c r="AW23" s="180" t="str">
        <f t="shared" si="16"/>
        <v>BB3</v>
      </c>
      <c r="AX23" s="288">
        <v>19</v>
      </c>
      <c r="AY23" s="184">
        <v>26123.59</v>
      </c>
      <c r="AZ23" s="180" t="str">
        <f t="shared" si="17"/>
        <v>BB4</v>
      </c>
      <c r="BA23" s="288">
        <v>19</v>
      </c>
      <c r="BB23" s="184">
        <v>28604.22</v>
      </c>
      <c r="BC23" s="180" t="str">
        <f t="shared" si="18"/>
        <v>B1A</v>
      </c>
      <c r="BD23" s="288">
        <v>19</v>
      </c>
      <c r="BE23" s="184">
        <v>21650.86</v>
      </c>
      <c r="BF23" s="180" t="str">
        <f t="shared" si="19"/>
        <v>B2A</v>
      </c>
      <c r="BG23" s="288">
        <v>19</v>
      </c>
      <c r="BH23" s="184">
        <v>24040.5</v>
      </c>
      <c r="BI23" s="180" t="str">
        <f t="shared" si="20"/>
        <v>B3A</v>
      </c>
      <c r="BJ23" s="288">
        <v>19</v>
      </c>
      <c r="BK23" s="184">
        <v>26822.799999999999</v>
      </c>
      <c r="BL23" s="180" t="str">
        <f t="shared" si="21"/>
        <v>B4A</v>
      </c>
      <c r="BM23" s="288">
        <v>19</v>
      </c>
      <c r="BN23" s="184">
        <v>28604.22</v>
      </c>
      <c r="BO23" s="180" t="str">
        <f t="shared" si="22"/>
        <v>B1B</v>
      </c>
      <c r="BP23" s="288">
        <v>19</v>
      </c>
      <c r="BQ23" s="184">
        <v>22954.5</v>
      </c>
      <c r="BR23" s="180" t="str">
        <f t="shared" si="23"/>
        <v>B2B</v>
      </c>
      <c r="BS23" s="288">
        <v>19</v>
      </c>
      <c r="BT23" s="184">
        <v>25954.5</v>
      </c>
      <c r="BU23" s="180" t="str">
        <f t="shared" si="24"/>
        <v>B3B</v>
      </c>
      <c r="BV23" s="288">
        <v>19</v>
      </c>
      <c r="BW23" s="184">
        <v>28954.5</v>
      </c>
      <c r="BX23" s="180" t="str">
        <f t="shared" si="25"/>
        <v>B4B</v>
      </c>
      <c r="BY23" s="288">
        <v>19</v>
      </c>
      <c r="BZ23" s="184">
        <v>31123.5</v>
      </c>
      <c r="CA23" s="180" t="str">
        <f t="shared" si="26"/>
        <v>B1C</v>
      </c>
      <c r="CB23" s="288">
        <v>19</v>
      </c>
      <c r="CC23" s="184">
        <v>21650.86</v>
      </c>
      <c r="CD23" s="180" t="str">
        <f t="shared" si="27"/>
        <v>B2C</v>
      </c>
      <c r="CE23" s="288">
        <v>19</v>
      </c>
      <c r="CF23" s="184">
        <v>23909.96</v>
      </c>
      <c r="CG23" s="180" t="str">
        <f t="shared" si="28"/>
        <v>B3C</v>
      </c>
      <c r="CH23" s="288">
        <v>19</v>
      </c>
      <c r="CI23" s="184">
        <v>26148.93</v>
      </c>
      <c r="CJ23" s="180" t="str">
        <f t="shared" si="29"/>
        <v>B4C</v>
      </c>
      <c r="CK23" s="288">
        <v>19</v>
      </c>
      <c r="CL23" s="183">
        <v>28604.22</v>
      </c>
      <c r="CM23" s="180" t="str">
        <f t="shared" si="30"/>
        <v>B1D</v>
      </c>
      <c r="CN23" s="288">
        <v>19</v>
      </c>
      <c r="CO23" s="184">
        <v>22484.5</v>
      </c>
      <c r="CP23" s="180" t="str">
        <f t="shared" si="31"/>
        <v>B2D</v>
      </c>
      <c r="CQ23" s="288">
        <v>19</v>
      </c>
      <c r="CR23" s="184">
        <v>24984.5</v>
      </c>
      <c r="CS23" s="180" t="str">
        <f t="shared" si="32"/>
        <v>B3D</v>
      </c>
      <c r="CT23" s="288">
        <v>19</v>
      </c>
      <c r="CU23" s="184">
        <v>27383.5</v>
      </c>
      <c r="CV23" s="180" t="str">
        <f t="shared" si="33"/>
        <v>B4D</v>
      </c>
      <c r="CW23" s="288">
        <v>19</v>
      </c>
      <c r="CX23" s="183">
        <v>29623.5</v>
      </c>
      <c r="CY23" s="16"/>
    </row>
    <row r="24" spans="1:103" x14ac:dyDescent="0.2">
      <c r="A24" s="180" t="str">
        <f t="shared" si="0"/>
        <v>A11</v>
      </c>
      <c r="B24" s="181">
        <v>20</v>
      </c>
      <c r="C24" s="183">
        <v>30780</v>
      </c>
      <c r="D24" s="180" t="str">
        <f t="shared" si="1"/>
        <v>A12</v>
      </c>
      <c r="E24" s="181">
        <v>20</v>
      </c>
      <c r="F24" s="184">
        <v>32780</v>
      </c>
      <c r="G24" s="180" t="str">
        <f t="shared" si="2"/>
        <v>A21</v>
      </c>
      <c r="H24" s="181">
        <v>20</v>
      </c>
      <c r="I24" s="184">
        <v>35480</v>
      </c>
      <c r="J24" s="180" t="str">
        <f t="shared" si="3"/>
        <v>A22</v>
      </c>
      <c r="K24" s="181">
        <v>20</v>
      </c>
      <c r="L24" s="184">
        <v>38480</v>
      </c>
      <c r="M24" s="180" t="str">
        <f t="shared" si="4"/>
        <v>A23</v>
      </c>
      <c r="N24" s="181">
        <v>20</v>
      </c>
      <c r="O24" s="184">
        <v>41480</v>
      </c>
      <c r="P24" s="180" t="str">
        <f t="shared" si="5"/>
        <v>A31</v>
      </c>
      <c r="Q24" s="181">
        <v>20</v>
      </c>
      <c r="R24" s="184">
        <v>42780</v>
      </c>
      <c r="S24" s="180" t="str">
        <f t="shared" si="6"/>
        <v>A32</v>
      </c>
      <c r="T24" s="181">
        <v>20</v>
      </c>
      <c r="U24" s="184">
        <v>46280</v>
      </c>
      <c r="V24" s="180" t="str">
        <f t="shared" si="7"/>
        <v>A33</v>
      </c>
      <c r="W24" s="181">
        <v>20</v>
      </c>
      <c r="X24" s="184">
        <v>49280</v>
      </c>
      <c r="Y24" s="180" t="str">
        <f t="shared" si="8"/>
        <v>A41</v>
      </c>
      <c r="Z24" s="181">
        <v>20</v>
      </c>
      <c r="AA24" s="184">
        <v>51770</v>
      </c>
      <c r="AB24" s="180" t="str">
        <f t="shared" si="9"/>
        <v>A42</v>
      </c>
      <c r="AC24" s="181">
        <v>20</v>
      </c>
      <c r="AD24" s="184">
        <v>54770</v>
      </c>
      <c r="AE24" s="180" t="str">
        <f t="shared" si="10"/>
        <v>A43</v>
      </c>
      <c r="AF24" s="181">
        <v>20</v>
      </c>
      <c r="AG24" s="184">
        <v>57770</v>
      </c>
      <c r="AH24" s="180" t="str">
        <f t="shared" si="11"/>
        <v>A51</v>
      </c>
      <c r="AI24" s="181">
        <v>20</v>
      </c>
      <c r="AJ24" s="184">
        <v>59560</v>
      </c>
      <c r="AK24" s="180" t="str">
        <f t="shared" si="12"/>
        <v>A52</v>
      </c>
      <c r="AL24" s="181">
        <v>20</v>
      </c>
      <c r="AM24" s="184">
        <v>62560</v>
      </c>
      <c r="AN24" s="180" t="str">
        <f t="shared" si="13"/>
        <v>A53</v>
      </c>
      <c r="AO24" s="181">
        <v>20</v>
      </c>
      <c r="AP24" s="184">
        <v>65560</v>
      </c>
      <c r="AQ24" s="180" t="str">
        <f t="shared" si="14"/>
        <v>BB1</v>
      </c>
      <c r="AR24" s="181">
        <v>20</v>
      </c>
      <c r="AS24" s="184">
        <v>21650.86</v>
      </c>
      <c r="AT24" s="180" t="str">
        <f t="shared" si="15"/>
        <v>BB2</v>
      </c>
      <c r="AU24" s="181">
        <v>20</v>
      </c>
      <c r="AV24" s="184">
        <v>23909.96</v>
      </c>
      <c r="AW24" s="180" t="str">
        <f t="shared" si="16"/>
        <v>BB3</v>
      </c>
      <c r="AX24" s="288">
        <v>20</v>
      </c>
      <c r="AY24" s="184">
        <v>26123.59</v>
      </c>
      <c r="AZ24" s="180" t="str">
        <f t="shared" si="17"/>
        <v>BB4</v>
      </c>
      <c r="BA24" s="288">
        <v>20</v>
      </c>
      <c r="BB24" s="184">
        <v>28604.22</v>
      </c>
      <c r="BC24" s="180" t="str">
        <f t="shared" si="18"/>
        <v>B1A</v>
      </c>
      <c r="BD24" s="288">
        <v>20</v>
      </c>
      <c r="BE24" s="184">
        <v>21650.86</v>
      </c>
      <c r="BF24" s="180" t="str">
        <f t="shared" si="19"/>
        <v>B2A</v>
      </c>
      <c r="BG24" s="288">
        <v>20</v>
      </c>
      <c r="BH24" s="184">
        <v>24040.5</v>
      </c>
      <c r="BI24" s="180" t="str">
        <f t="shared" si="20"/>
        <v>B3A</v>
      </c>
      <c r="BJ24" s="288">
        <v>20</v>
      </c>
      <c r="BK24" s="184">
        <v>26822.799999999999</v>
      </c>
      <c r="BL24" s="180" t="str">
        <f t="shared" si="21"/>
        <v>B4A</v>
      </c>
      <c r="BM24" s="288">
        <v>20</v>
      </c>
      <c r="BN24" s="184">
        <v>28604.22</v>
      </c>
      <c r="BO24" s="180" t="str">
        <f t="shared" si="22"/>
        <v>B1B</v>
      </c>
      <c r="BP24" s="288">
        <v>20</v>
      </c>
      <c r="BQ24" s="184">
        <v>22954.5</v>
      </c>
      <c r="BR24" s="180" t="str">
        <f t="shared" si="23"/>
        <v>B2B</v>
      </c>
      <c r="BS24" s="288">
        <v>20</v>
      </c>
      <c r="BT24" s="184">
        <v>25954.5</v>
      </c>
      <c r="BU24" s="180" t="str">
        <f t="shared" si="24"/>
        <v>B3B</v>
      </c>
      <c r="BV24" s="288">
        <v>20</v>
      </c>
      <c r="BW24" s="184">
        <v>28954.5</v>
      </c>
      <c r="BX24" s="180" t="str">
        <f t="shared" si="25"/>
        <v>B4B</v>
      </c>
      <c r="BY24" s="288">
        <v>20</v>
      </c>
      <c r="BZ24" s="184">
        <v>31123.5</v>
      </c>
      <c r="CA24" s="180" t="str">
        <f t="shared" si="26"/>
        <v>B1C</v>
      </c>
      <c r="CB24" s="288">
        <v>20</v>
      </c>
      <c r="CC24" s="184">
        <v>21650.86</v>
      </c>
      <c r="CD24" s="180" t="str">
        <f t="shared" si="27"/>
        <v>B2C</v>
      </c>
      <c r="CE24" s="288">
        <v>20</v>
      </c>
      <c r="CF24" s="184">
        <v>23909.96</v>
      </c>
      <c r="CG24" s="180" t="str">
        <f t="shared" si="28"/>
        <v>B3C</v>
      </c>
      <c r="CH24" s="288">
        <v>20</v>
      </c>
      <c r="CI24" s="184">
        <v>26148.93</v>
      </c>
      <c r="CJ24" s="180" t="str">
        <f t="shared" si="29"/>
        <v>B4C</v>
      </c>
      <c r="CK24" s="288">
        <v>20</v>
      </c>
      <c r="CL24" s="183">
        <v>28604.22</v>
      </c>
      <c r="CM24" s="180" t="str">
        <f t="shared" si="30"/>
        <v>B1D</v>
      </c>
      <c r="CN24" s="288">
        <v>20</v>
      </c>
      <c r="CO24" s="184">
        <v>22484.5</v>
      </c>
      <c r="CP24" s="180" t="str">
        <f t="shared" si="31"/>
        <v>B2D</v>
      </c>
      <c r="CQ24" s="288">
        <v>20</v>
      </c>
      <c r="CR24" s="184">
        <v>24984.5</v>
      </c>
      <c r="CS24" s="180" t="str">
        <f t="shared" si="32"/>
        <v>B3D</v>
      </c>
      <c r="CT24" s="288">
        <v>20</v>
      </c>
      <c r="CU24" s="184">
        <v>27383.5</v>
      </c>
      <c r="CV24" s="180" t="str">
        <f t="shared" si="33"/>
        <v>B4D</v>
      </c>
      <c r="CW24" s="288">
        <v>20</v>
      </c>
      <c r="CX24" s="183">
        <v>29623.5</v>
      </c>
      <c r="CY24" s="16"/>
    </row>
    <row r="25" spans="1:103" x14ac:dyDescent="0.2">
      <c r="A25" s="180" t="str">
        <f t="shared" si="0"/>
        <v>A11</v>
      </c>
      <c r="B25" s="181">
        <v>21</v>
      </c>
      <c r="C25" s="183">
        <v>31225</v>
      </c>
      <c r="D25" s="180" t="str">
        <f t="shared" si="1"/>
        <v>A12</v>
      </c>
      <c r="E25" s="181">
        <v>21</v>
      </c>
      <c r="F25" s="184">
        <v>33225</v>
      </c>
      <c r="G25" s="180" t="str">
        <f t="shared" si="2"/>
        <v>A21</v>
      </c>
      <c r="H25" s="181">
        <v>21</v>
      </c>
      <c r="I25" s="184">
        <v>35960</v>
      </c>
      <c r="J25" s="180" t="str">
        <f t="shared" si="3"/>
        <v>A22</v>
      </c>
      <c r="K25" s="181">
        <v>21</v>
      </c>
      <c r="L25" s="184">
        <v>38960</v>
      </c>
      <c r="M25" s="180" t="str">
        <f t="shared" si="4"/>
        <v>A23</v>
      </c>
      <c r="N25" s="181">
        <v>21</v>
      </c>
      <c r="O25" s="184">
        <v>41960</v>
      </c>
      <c r="P25" s="180" t="str">
        <f t="shared" si="5"/>
        <v>A31</v>
      </c>
      <c r="Q25" s="181">
        <v>21</v>
      </c>
      <c r="R25" s="184">
        <v>43300</v>
      </c>
      <c r="S25" s="180" t="str">
        <f t="shared" si="6"/>
        <v>A32</v>
      </c>
      <c r="T25" s="181">
        <v>21</v>
      </c>
      <c r="U25" s="184">
        <v>46800</v>
      </c>
      <c r="V25" s="180" t="str">
        <f t="shared" si="7"/>
        <v>A33</v>
      </c>
      <c r="W25" s="181">
        <v>21</v>
      </c>
      <c r="X25" s="184">
        <v>49800</v>
      </c>
      <c r="Y25" s="180" t="str">
        <f t="shared" si="8"/>
        <v>A41</v>
      </c>
      <c r="Z25" s="181">
        <v>21</v>
      </c>
      <c r="AA25" s="184">
        <v>52380</v>
      </c>
      <c r="AB25" s="180" t="str">
        <f t="shared" si="9"/>
        <v>A42</v>
      </c>
      <c r="AC25" s="181">
        <v>21</v>
      </c>
      <c r="AD25" s="184">
        <v>55380</v>
      </c>
      <c r="AE25" s="180" t="str">
        <f t="shared" si="10"/>
        <v>A43</v>
      </c>
      <c r="AF25" s="181">
        <v>21</v>
      </c>
      <c r="AG25" s="184">
        <v>58380</v>
      </c>
      <c r="AH25" s="180" t="str">
        <f t="shared" si="11"/>
        <v>A51</v>
      </c>
      <c r="AI25" s="181">
        <v>21</v>
      </c>
      <c r="AJ25" s="184">
        <v>60170</v>
      </c>
      <c r="AK25" s="180" t="str">
        <f t="shared" si="12"/>
        <v>A52</v>
      </c>
      <c r="AL25" s="181">
        <v>21</v>
      </c>
      <c r="AM25" s="184">
        <v>63170</v>
      </c>
      <c r="AN25" s="180" t="str">
        <f t="shared" si="13"/>
        <v>A53</v>
      </c>
      <c r="AO25" s="181">
        <v>21</v>
      </c>
      <c r="AP25" s="184">
        <v>66170</v>
      </c>
      <c r="AQ25" s="180" t="str">
        <f t="shared" si="14"/>
        <v>BB1</v>
      </c>
      <c r="AR25" s="181">
        <v>21</v>
      </c>
      <c r="AS25" s="184">
        <v>22143.05</v>
      </c>
      <c r="AT25" s="180" t="str">
        <f t="shared" si="15"/>
        <v>BB2</v>
      </c>
      <c r="AU25" s="181">
        <v>21</v>
      </c>
      <c r="AV25" s="184">
        <v>24402.15</v>
      </c>
      <c r="AW25" s="180" t="str">
        <f t="shared" si="16"/>
        <v>BB3</v>
      </c>
      <c r="AX25" s="288">
        <v>21</v>
      </c>
      <c r="AY25" s="184">
        <v>26747.63</v>
      </c>
      <c r="AZ25" s="180" t="str">
        <f t="shared" si="17"/>
        <v>BB4</v>
      </c>
      <c r="BA25" s="288">
        <v>21</v>
      </c>
      <c r="BB25" s="184">
        <v>29340.57</v>
      </c>
      <c r="BC25" s="180" t="str">
        <f t="shared" si="18"/>
        <v>B1A</v>
      </c>
      <c r="BD25" s="288">
        <v>21</v>
      </c>
      <c r="BE25" s="184">
        <v>22143.05</v>
      </c>
      <c r="BF25" s="180" t="str">
        <f t="shared" si="19"/>
        <v>B2A</v>
      </c>
      <c r="BG25" s="288">
        <v>21</v>
      </c>
      <c r="BH25" s="184">
        <v>24412.5</v>
      </c>
      <c r="BI25" s="180" t="str">
        <f t="shared" si="20"/>
        <v>B3A</v>
      </c>
      <c r="BJ25" s="288">
        <v>21</v>
      </c>
      <c r="BK25" s="184">
        <v>27447.07</v>
      </c>
      <c r="BL25" s="180" t="str">
        <f t="shared" si="21"/>
        <v>B4A</v>
      </c>
      <c r="BM25" s="288">
        <v>21</v>
      </c>
      <c r="BN25" s="184">
        <v>29340.57</v>
      </c>
      <c r="BO25" s="180" t="str">
        <f t="shared" si="22"/>
        <v>B1B</v>
      </c>
      <c r="BP25" s="288">
        <v>21</v>
      </c>
      <c r="BQ25" s="184">
        <v>23579.5</v>
      </c>
      <c r="BR25" s="180" t="str">
        <f t="shared" si="23"/>
        <v>B2B</v>
      </c>
      <c r="BS25" s="288">
        <v>21</v>
      </c>
      <c r="BT25" s="184">
        <v>26579.5</v>
      </c>
      <c r="BU25" s="180" t="str">
        <f t="shared" si="24"/>
        <v>B3B</v>
      </c>
      <c r="BV25" s="288">
        <v>21</v>
      </c>
      <c r="BW25" s="184">
        <v>29579.5</v>
      </c>
      <c r="BX25" s="180" t="str">
        <f t="shared" si="25"/>
        <v>B4B</v>
      </c>
      <c r="BY25" s="288">
        <v>21</v>
      </c>
      <c r="BZ25" s="184">
        <v>31867.5</v>
      </c>
      <c r="CA25" s="180" t="str">
        <f t="shared" si="26"/>
        <v>B1C</v>
      </c>
      <c r="CB25" s="288">
        <v>21</v>
      </c>
      <c r="CC25" s="184">
        <v>22143.05</v>
      </c>
      <c r="CD25" s="180" t="str">
        <f t="shared" si="27"/>
        <v>B2C</v>
      </c>
      <c r="CE25" s="288">
        <v>21</v>
      </c>
      <c r="CF25" s="184">
        <v>24402.15</v>
      </c>
      <c r="CG25" s="180" t="str">
        <f t="shared" si="28"/>
        <v>B3C</v>
      </c>
      <c r="CH25" s="288">
        <v>21</v>
      </c>
      <c r="CI25" s="184">
        <v>26773.200000000001</v>
      </c>
      <c r="CJ25" s="180" t="str">
        <f t="shared" si="29"/>
        <v>B4C</v>
      </c>
      <c r="CK25" s="288">
        <v>21</v>
      </c>
      <c r="CL25" s="183">
        <v>29340.57</v>
      </c>
      <c r="CM25" s="180" t="str">
        <f t="shared" si="30"/>
        <v>B1D</v>
      </c>
      <c r="CN25" s="288">
        <v>21</v>
      </c>
      <c r="CO25" s="184">
        <v>23109.5</v>
      </c>
      <c r="CP25" s="180" t="str">
        <f t="shared" si="31"/>
        <v>B2D</v>
      </c>
      <c r="CQ25" s="288">
        <v>21</v>
      </c>
      <c r="CR25" s="184">
        <v>25609.5</v>
      </c>
      <c r="CS25" s="180" t="str">
        <f t="shared" si="32"/>
        <v>B3D</v>
      </c>
      <c r="CT25" s="288">
        <v>21</v>
      </c>
      <c r="CU25" s="184">
        <v>28301.5</v>
      </c>
      <c r="CV25" s="180" t="str">
        <f t="shared" si="33"/>
        <v>B4D</v>
      </c>
      <c r="CW25" s="288">
        <v>21</v>
      </c>
      <c r="CX25" s="183">
        <v>30541.5</v>
      </c>
      <c r="CY25" s="16"/>
    </row>
    <row r="26" spans="1:103" x14ac:dyDescent="0.2">
      <c r="A26" s="180" t="str">
        <f t="shared" si="0"/>
        <v>A11</v>
      </c>
      <c r="B26" s="181">
        <v>22</v>
      </c>
      <c r="C26" s="183">
        <v>31670</v>
      </c>
      <c r="D26" s="180" t="str">
        <f t="shared" si="1"/>
        <v>A12</v>
      </c>
      <c r="E26" s="181">
        <v>22</v>
      </c>
      <c r="F26" s="184">
        <v>33670</v>
      </c>
      <c r="G26" s="180" t="str">
        <f t="shared" si="2"/>
        <v>A21</v>
      </c>
      <c r="H26" s="181">
        <v>22</v>
      </c>
      <c r="I26" s="184">
        <v>36440</v>
      </c>
      <c r="J26" s="180" t="str">
        <f t="shared" si="3"/>
        <v>A22</v>
      </c>
      <c r="K26" s="181">
        <v>22</v>
      </c>
      <c r="L26" s="184">
        <v>39440</v>
      </c>
      <c r="M26" s="180" t="str">
        <f t="shared" si="4"/>
        <v>A23</v>
      </c>
      <c r="N26" s="181">
        <v>22</v>
      </c>
      <c r="O26" s="184">
        <v>42440</v>
      </c>
      <c r="P26" s="180" t="str">
        <f t="shared" si="5"/>
        <v>A31</v>
      </c>
      <c r="Q26" s="181">
        <v>22</v>
      </c>
      <c r="R26" s="184">
        <v>43820</v>
      </c>
      <c r="S26" s="180" t="str">
        <f t="shared" si="6"/>
        <v>A32</v>
      </c>
      <c r="T26" s="181">
        <v>22</v>
      </c>
      <c r="U26" s="184">
        <v>47320</v>
      </c>
      <c r="V26" s="180" t="str">
        <f t="shared" si="7"/>
        <v>A33</v>
      </c>
      <c r="W26" s="181">
        <v>22</v>
      </c>
      <c r="X26" s="184">
        <v>50320</v>
      </c>
      <c r="Y26" s="180" t="str">
        <f t="shared" si="8"/>
        <v>A41</v>
      </c>
      <c r="Z26" s="181">
        <v>22</v>
      </c>
      <c r="AA26" s="184">
        <v>52990</v>
      </c>
      <c r="AB26" s="180" t="str">
        <f t="shared" si="9"/>
        <v>A42</v>
      </c>
      <c r="AC26" s="181">
        <v>22</v>
      </c>
      <c r="AD26" s="184">
        <v>55990</v>
      </c>
      <c r="AE26" s="180" t="str">
        <f t="shared" si="10"/>
        <v>A43</v>
      </c>
      <c r="AF26" s="181">
        <v>22</v>
      </c>
      <c r="AG26" s="184">
        <v>58990</v>
      </c>
      <c r="AH26" s="180" t="str">
        <f t="shared" si="11"/>
        <v>A51</v>
      </c>
      <c r="AI26" s="181">
        <v>22</v>
      </c>
      <c r="AJ26" s="184">
        <v>60780</v>
      </c>
      <c r="AK26" s="180" t="str">
        <f t="shared" si="12"/>
        <v>A52</v>
      </c>
      <c r="AL26" s="181">
        <v>22</v>
      </c>
      <c r="AM26" s="184">
        <v>63780</v>
      </c>
      <c r="AN26" s="180" t="str">
        <f t="shared" si="13"/>
        <v>A53</v>
      </c>
      <c r="AO26" s="181">
        <v>22</v>
      </c>
      <c r="AP26" s="184">
        <v>66780</v>
      </c>
      <c r="AQ26" s="180" t="str">
        <f t="shared" si="14"/>
        <v>BB1</v>
      </c>
      <c r="AR26" s="181">
        <v>22</v>
      </c>
      <c r="AS26" s="184">
        <v>22143.05</v>
      </c>
      <c r="AT26" s="180" t="str">
        <f t="shared" si="15"/>
        <v>BB2</v>
      </c>
      <c r="AU26" s="181">
        <v>22</v>
      </c>
      <c r="AV26" s="184">
        <v>24402.15</v>
      </c>
      <c r="AW26" s="180" t="str">
        <f t="shared" si="16"/>
        <v>BB3</v>
      </c>
      <c r="AX26" s="288">
        <v>22</v>
      </c>
      <c r="AY26" s="184">
        <v>26747.63</v>
      </c>
      <c r="AZ26" s="180" t="str">
        <f t="shared" si="17"/>
        <v>BB4</v>
      </c>
      <c r="BA26" s="288">
        <v>22</v>
      </c>
      <c r="BB26" s="184">
        <v>29340.57</v>
      </c>
      <c r="BC26" s="180" t="str">
        <f t="shared" si="18"/>
        <v>B1A</v>
      </c>
      <c r="BD26" s="288">
        <v>22</v>
      </c>
      <c r="BE26" s="184">
        <v>22143.05</v>
      </c>
      <c r="BF26" s="180" t="str">
        <f t="shared" si="19"/>
        <v>B2A</v>
      </c>
      <c r="BG26" s="288">
        <v>22</v>
      </c>
      <c r="BH26" s="184">
        <v>24412.5</v>
      </c>
      <c r="BI26" s="180" t="str">
        <f t="shared" si="20"/>
        <v>B3A</v>
      </c>
      <c r="BJ26" s="288">
        <v>22</v>
      </c>
      <c r="BK26" s="184">
        <v>27447.07</v>
      </c>
      <c r="BL26" s="180" t="str">
        <f t="shared" si="21"/>
        <v>B4A</v>
      </c>
      <c r="BM26" s="288">
        <v>22</v>
      </c>
      <c r="BN26" s="184">
        <v>29340.57</v>
      </c>
      <c r="BO26" s="180" t="str">
        <f t="shared" si="22"/>
        <v>B1B</v>
      </c>
      <c r="BP26" s="288">
        <v>22</v>
      </c>
      <c r="BQ26" s="184">
        <v>23579.5</v>
      </c>
      <c r="BR26" s="180" t="str">
        <f t="shared" si="23"/>
        <v>B2B</v>
      </c>
      <c r="BS26" s="288">
        <v>22</v>
      </c>
      <c r="BT26" s="184">
        <v>26579.5</v>
      </c>
      <c r="BU26" s="180" t="str">
        <f t="shared" si="24"/>
        <v>B3B</v>
      </c>
      <c r="BV26" s="288">
        <v>22</v>
      </c>
      <c r="BW26" s="184">
        <v>29579.5</v>
      </c>
      <c r="BX26" s="180" t="str">
        <f t="shared" si="25"/>
        <v>B4B</v>
      </c>
      <c r="BY26" s="288">
        <v>22</v>
      </c>
      <c r="BZ26" s="184">
        <v>31867.5</v>
      </c>
      <c r="CA26" s="180" t="str">
        <f t="shared" si="26"/>
        <v>B1C</v>
      </c>
      <c r="CB26" s="288">
        <v>22</v>
      </c>
      <c r="CC26" s="184">
        <v>22143.05</v>
      </c>
      <c r="CD26" s="180" t="str">
        <f t="shared" si="27"/>
        <v>B2C</v>
      </c>
      <c r="CE26" s="288">
        <v>22</v>
      </c>
      <c r="CF26" s="184">
        <v>24402.15</v>
      </c>
      <c r="CG26" s="180" t="str">
        <f t="shared" si="28"/>
        <v>B3C</v>
      </c>
      <c r="CH26" s="288">
        <v>22</v>
      </c>
      <c r="CI26" s="184">
        <v>26773.200000000001</v>
      </c>
      <c r="CJ26" s="180" t="str">
        <f t="shared" si="29"/>
        <v>B4C</v>
      </c>
      <c r="CK26" s="288">
        <v>22</v>
      </c>
      <c r="CL26" s="183">
        <v>29340.57</v>
      </c>
      <c r="CM26" s="180" t="str">
        <f t="shared" si="30"/>
        <v>B1D</v>
      </c>
      <c r="CN26" s="288">
        <v>22</v>
      </c>
      <c r="CO26" s="184">
        <v>23109.5</v>
      </c>
      <c r="CP26" s="180" t="str">
        <f t="shared" si="31"/>
        <v>B2D</v>
      </c>
      <c r="CQ26" s="288">
        <v>22</v>
      </c>
      <c r="CR26" s="184">
        <v>25609.5</v>
      </c>
      <c r="CS26" s="180" t="str">
        <f t="shared" si="32"/>
        <v>B3D</v>
      </c>
      <c r="CT26" s="288">
        <v>22</v>
      </c>
      <c r="CU26" s="184">
        <v>28301.5</v>
      </c>
      <c r="CV26" s="180" t="str">
        <f t="shared" si="33"/>
        <v>B4D</v>
      </c>
      <c r="CW26" s="288">
        <v>22</v>
      </c>
      <c r="CX26" s="183">
        <v>30541.5</v>
      </c>
      <c r="CY26" s="16"/>
    </row>
    <row r="27" spans="1:103" x14ac:dyDescent="0.2">
      <c r="A27" s="180" t="str">
        <f t="shared" si="0"/>
        <v>A11</v>
      </c>
      <c r="B27" s="181">
        <v>23</v>
      </c>
      <c r="C27" s="183">
        <v>32115</v>
      </c>
      <c r="D27" s="180" t="str">
        <f t="shared" si="1"/>
        <v>A12</v>
      </c>
      <c r="E27" s="181">
        <v>23</v>
      </c>
      <c r="F27" s="184">
        <v>34115</v>
      </c>
      <c r="G27" s="180" t="str">
        <f t="shared" si="2"/>
        <v>A21</v>
      </c>
      <c r="H27" s="181">
        <v>23</v>
      </c>
      <c r="I27" s="184">
        <v>36920</v>
      </c>
      <c r="J27" s="180" t="str">
        <f t="shared" si="3"/>
        <v>A22</v>
      </c>
      <c r="K27" s="181">
        <v>23</v>
      </c>
      <c r="L27" s="184">
        <v>39920</v>
      </c>
      <c r="M27" s="180" t="str">
        <f t="shared" si="4"/>
        <v>A23</v>
      </c>
      <c r="N27" s="181">
        <v>23</v>
      </c>
      <c r="O27" s="184">
        <v>42920</v>
      </c>
      <c r="P27" s="180" t="str">
        <f t="shared" si="5"/>
        <v>A31</v>
      </c>
      <c r="Q27" s="181">
        <v>23</v>
      </c>
      <c r="R27" s="184">
        <v>44340</v>
      </c>
      <c r="S27" s="180" t="str">
        <f t="shared" si="6"/>
        <v>A32</v>
      </c>
      <c r="T27" s="181">
        <v>23</v>
      </c>
      <c r="U27" s="184">
        <v>47840</v>
      </c>
      <c r="V27" s="180" t="str">
        <f t="shared" si="7"/>
        <v>A33</v>
      </c>
      <c r="W27" s="181">
        <v>23</v>
      </c>
      <c r="X27" s="184">
        <v>50840</v>
      </c>
      <c r="Y27" s="180" t="str">
        <f t="shared" si="8"/>
        <v>A41</v>
      </c>
      <c r="Z27" s="181">
        <v>23</v>
      </c>
      <c r="AA27" s="184">
        <f t="shared" ref="AA27:AA34" si="34">AA26</f>
        <v>52990</v>
      </c>
      <c r="AB27" s="180" t="str">
        <f t="shared" si="9"/>
        <v>A42</v>
      </c>
      <c r="AC27" s="181">
        <v>23</v>
      </c>
      <c r="AD27" s="184">
        <f t="shared" ref="AD27:AD34" si="35">AD26</f>
        <v>55990</v>
      </c>
      <c r="AE27" s="180" t="str">
        <f t="shared" si="10"/>
        <v>A43</v>
      </c>
      <c r="AF27" s="181">
        <v>23</v>
      </c>
      <c r="AG27" s="184">
        <f t="shared" ref="AG27:AG34" si="36">AG26</f>
        <v>58990</v>
      </c>
      <c r="AH27" s="180" t="str">
        <f t="shared" si="11"/>
        <v>A51</v>
      </c>
      <c r="AI27" s="181">
        <v>23</v>
      </c>
      <c r="AJ27" s="184">
        <f t="shared" ref="AJ27:AJ34" si="37">AJ26</f>
        <v>60780</v>
      </c>
      <c r="AK27" s="180" t="str">
        <f t="shared" si="12"/>
        <v>A52</v>
      </c>
      <c r="AL27" s="181">
        <v>23</v>
      </c>
      <c r="AM27" s="184">
        <f t="shared" ref="AM27:AM34" si="38">AM26</f>
        <v>63780</v>
      </c>
      <c r="AN27" s="180" t="str">
        <f t="shared" si="13"/>
        <v>A53</v>
      </c>
      <c r="AO27" s="181">
        <v>23</v>
      </c>
      <c r="AP27" s="184">
        <f t="shared" ref="AP27:AP34" si="39">AP26</f>
        <v>66780</v>
      </c>
      <c r="AQ27" s="180" t="str">
        <f t="shared" si="14"/>
        <v>BB1</v>
      </c>
      <c r="AR27" s="181">
        <v>23</v>
      </c>
      <c r="AS27" s="184">
        <v>22635.24</v>
      </c>
      <c r="AT27" s="180" t="str">
        <f t="shared" si="15"/>
        <v>BB2</v>
      </c>
      <c r="AU27" s="181">
        <v>23</v>
      </c>
      <c r="AV27" s="184">
        <v>24894.34</v>
      </c>
      <c r="AW27" s="180" t="str">
        <f t="shared" si="16"/>
        <v>BB3</v>
      </c>
      <c r="AX27" s="288">
        <v>23</v>
      </c>
      <c r="AY27" s="184">
        <v>27371.67</v>
      </c>
      <c r="AZ27" s="180" t="str">
        <f t="shared" si="17"/>
        <v>BB4</v>
      </c>
      <c r="BA27" s="288">
        <v>23</v>
      </c>
      <c r="BB27" s="184">
        <v>30076.91</v>
      </c>
      <c r="BC27" s="180" t="str">
        <f t="shared" si="18"/>
        <v>B1A</v>
      </c>
      <c r="BD27" s="288">
        <v>23</v>
      </c>
      <c r="BE27" s="184">
        <v>22635.24</v>
      </c>
      <c r="BF27" s="180" t="str">
        <f t="shared" si="19"/>
        <v>B2A</v>
      </c>
      <c r="BG27" s="288">
        <v>23</v>
      </c>
      <c r="BH27" s="184">
        <v>25024.35</v>
      </c>
      <c r="BI27" s="180" t="str">
        <f t="shared" si="20"/>
        <v>B3A</v>
      </c>
      <c r="BJ27" s="288">
        <v>23</v>
      </c>
      <c r="BK27" s="184">
        <v>28071.34</v>
      </c>
      <c r="BL27" s="180" t="str">
        <f t="shared" si="21"/>
        <v>B4A</v>
      </c>
      <c r="BM27" s="288">
        <v>23</v>
      </c>
      <c r="BN27" s="184">
        <v>30076.91</v>
      </c>
      <c r="BO27" s="180" t="str">
        <f t="shared" si="22"/>
        <v>B1B</v>
      </c>
      <c r="BP27" s="288">
        <v>23</v>
      </c>
      <c r="BQ27" s="184">
        <v>24204.5</v>
      </c>
      <c r="BR27" s="180" t="str">
        <f t="shared" si="23"/>
        <v>B2B</v>
      </c>
      <c r="BS27" s="288">
        <v>23</v>
      </c>
      <c r="BT27" s="184">
        <v>27204.5</v>
      </c>
      <c r="BU27" s="180" t="str">
        <f t="shared" si="24"/>
        <v>B3B</v>
      </c>
      <c r="BV27" s="288">
        <v>23</v>
      </c>
      <c r="BW27" s="184">
        <v>30204.5</v>
      </c>
      <c r="BX27" s="180" t="str">
        <f t="shared" si="25"/>
        <v>B4B</v>
      </c>
      <c r="BY27" s="288">
        <v>23</v>
      </c>
      <c r="BZ27" s="184">
        <v>32611.5</v>
      </c>
      <c r="CA27" s="180" t="str">
        <f t="shared" si="26"/>
        <v>B1C</v>
      </c>
      <c r="CB27" s="288">
        <v>23</v>
      </c>
      <c r="CC27" s="184">
        <v>22635.24</v>
      </c>
      <c r="CD27" s="180" t="str">
        <f t="shared" si="27"/>
        <v>B2C</v>
      </c>
      <c r="CE27" s="288">
        <v>23</v>
      </c>
      <c r="CF27" s="184">
        <v>24897.47</v>
      </c>
      <c r="CG27" s="180" t="str">
        <f t="shared" si="28"/>
        <v>B3C</v>
      </c>
      <c r="CH27" s="288">
        <v>23</v>
      </c>
      <c r="CI27" s="184">
        <v>27397.47</v>
      </c>
      <c r="CJ27" s="180" t="str">
        <f t="shared" si="29"/>
        <v>B4C</v>
      </c>
      <c r="CK27" s="288">
        <v>23</v>
      </c>
      <c r="CL27" s="183">
        <v>30076.91</v>
      </c>
      <c r="CM27" s="180" t="str">
        <f t="shared" si="30"/>
        <v>B1D</v>
      </c>
      <c r="CN27" s="288">
        <v>23</v>
      </c>
      <c r="CO27" s="184">
        <v>23734.5</v>
      </c>
      <c r="CP27" s="180" t="str">
        <f t="shared" si="31"/>
        <v>B2D</v>
      </c>
      <c r="CQ27" s="288">
        <v>23</v>
      </c>
      <c r="CR27" s="184">
        <v>26234.5</v>
      </c>
      <c r="CS27" s="180" t="str">
        <f t="shared" si="32"/>
        <v>B3D</v>
      </c>
      <c r="CT27" s="288">
        <v>23</v>
      </c>
      <c r="CU27" s="184">
        <v>29219.5</v>
      </c>
      <c r="CV27" s="180" t="str">
        <f t="shared" si="33"/>
        <v>B4D</v>
      </c>
      <c r="CW27" s="288">
        <v>23</v>
      </c>
      <c r="CX27" s="183">
        <v>31459.5</v>
      </c>
      <c r="CY27" s="16"/>
    </row>
    <row r="28" spans="1:103" x14ac:dyDescent="0.2">
      <c r="A28" s="180" t="str">
        <f t="shared" si="0"/>
        <v>A11</v>
      </c>
      <c r="B28" s="181">
        <v>24</v>
      </c>
      <c r="C28" s="183">
        <v>32560</v>
      </c>
      <c r="D28" s="180" t="str">
        <f t="shared" si="1"/>
        <v>A12</v>
      </c>
      <c r="E28" s="181">
        <v>24</v>
      </c>
      <c r="F28" s="184">
        <v>34560</v>
      </c>
      <c r="G28" s="180" t="str">
        <f t="shared" si="2"/>
        <v>A21</v>
      </c>
      <c r="H28" s="181">
        <v>24</v>
      </c>
      <c r="I28" s="184">
        <v>37400</v>
      </c>
      <c r="J28" s="180" t="str">
        <f t="shared" si="3"/>
        <v>A22</v>
      </c>
      <c r="K28" s="181">
        <v>24</v>
      </c>
      <c r="L28" s="184">
        <v>40400</v>
      </c>
      <c r="M28" s="180" t="str">
        <f t="shared" si="4"/>
        <v>A23</v>
      </c>
      <c r="N28" s="181">
        <v>24</v>
      </c>
      <c r="O28" s="184">
        <v>43400</v>
      </c>
      <c r="P28" s="180" t="str">
        <f t="shared" si="5"/>
        <v>A31</v>
      </c>
      <c r="Q28" s="181">
        <v>24</v>
      </c>
      <c r="R28" s="184">
        <v>44860</v>
      </c>
      <c r="S28" s="180" t="str">
        <f t="shared" si="6"/>
        <v>A32</v>
      </c>
      <c r="T28" s="181">
        <v>24</v>
      </c>
      <c r="U28" s="184">
        <v>48360</v>
      </c>
      <c r="V28" s="180" t="str">
        <f t="shared" si="7"/>
        <v>A33</v>
      </c>
      <c r="W28" s="181">
        <v>24</v>
      </c>
      <c r="X28" s="184">
        <v>51360</v>
      </c>
      <c r="Y28" s="180" t="str">
        <f t="shared" si="8"/>
        <v>A41</v>
      </c>
      <c r="Z28" s="181">
        <v>24</v>
      </c>
      <c r="AA28" s="184">
        <f t="shared" si="34"/>
        <v>52990</v>
      </c>
      <c r="AB28" s="180" t="str">
        <f t="shared" si="9"/>
        <v>A42</v>
      </c>
      <c r="AC28" s="181">
        <v>24</v>
      </c>
      <c r="AD28" s="184">
        <f t="shared" si="35"/>
        <v>55990</v>
      </c>
      <c r="AE28" s="180" t="str">
        <f t="shared" si="10"/>
        <v>A43</v>
      </c>
      <c r="AF28" s="181">
        <v>24</v>
      </c>
      <c r="AG28" s="184">
        <f t="shared" si="36"/>
        <v>58990</v>
      </c>
      <c r="AH28" s="180" t="str">
        <f t="shared" si="11"/>
        <v>A51</v>
      </c>
      <c r="AI28" s="181">
        <v>24</v>
      </c>
      <c r="AJ28" s="184">
        <f t="shared" si="37"/>
        <v>60780</v>
      </c>
      <c r="AK28" s="180" t="str">
        <f t="shared" si="12"/>
        <v>A52</v>
      </c>
      <c r="AL28" s="181">
        <v>24</v>
      </c>
      <c r="AM28" s="184">
        <f t="shared" si="38"/>
        <v>63780</v>
      </c>
      <c r="AN28" s="180" t="str">
        <f t="shared" si="13"/>
        <v>A53</v>
      </c>
      <c r="AO28" s="181">
        <v>24</v>
      </c>
      <c r="AP28" s="184">
        <f t="shared" si="39"/>
        <v>66780</v>
      </c>
      <c r="AQ28" s="180" t="str">
        <f t="shared" si="14"/>
        <v>BB1</v>
      </c>
      <c r="AR28" s="181">
        <v>24</v>
      </c>
      <c r="AS28" s="184">
        <v>22635.24</v>
      </c>
      <c r="AT28" s="180" t="str">
        <f t="shared" si="15"/>
        <v>BB2</v>
      </c>
      <c r="AU28" s="181">
        <v>24</v>
      </c>
      <c r="AV28" s="184">
        <v>24894.34</v>
      </c>
      <c r="AW28" s="180" t="str">
        <f t="shared" si="16"/>
        <v>BB3</v>
      </c>
      <c r="AX28" s="288">
        <v>24</v>
      </c>
      <c r="AY28" s="184">
        <v>27371.67</v>
      </c>
      <c r="AZ28" s="180" t="str">
        <f t="shared" si="17"/>
        <v>BB4</v>
      </c>
      <c r="BA28" s="288">
        <v>24</v>
      </c>
      <c r="BB28" s="184">
        <v>30076.91</v>
      </c>
      <c r="BC28" s="180" t="str">
        <f t="shared" si="18"/>
        <v>B1A</v>
      </c>
      <c r="BD28" s="288">
        <v>24</v>
      </c>
      <c r="BE28" s="184">
        <v>22635.24</v>
      </c>
      <c r="BF28" s="180" t="str">
        <f t="shared" si="19"/>
        <v>B2A</v>
      </c>
      <c r="BG28" s="288">
        <v>24</v>
      </c>
      <c r="BH28" s="184">
        <v>25024.35</v>
      </c>
      <c r="BI28" s="180" t="str">
        <f t="shared" si="20"/>
        <v>B3A</v>
      </c>
      <c r="BJ28" s="288">
        <v>24</v>
      </c>
      <c r="BK28" s="184">
        <v>28071.34</v>
      </c>
      <c r="BL28" s="180" t="str">
        <f t="shared" si="21"/>
        <v>B4A</v>
      </c>
      <c r="BM28" s="288">
        <v>24</v>
      </c>
      <c r="BN28" s="184">
        <v>30076.91</v>
      </c>
      <c r="BO28" s="180" t="str">
        <f t="shared" si="22"/>
        <v>B1B</v>
      </c>
      <c r="BP28" s="288">
        <v>24</v>
      </c>
      <c r="BQ28" s="184">
        <v>24204.5</v>
      </c>
      <c r="BR28" s="180" t="str">
        <f t="shared" si="23"/>
        <v>B2B</v>
      </c>
      <c r="BS28" s="288">
        <v>24</v>
      </c>
      <c r="BT28" s="184">
        <v>27204.5</v>
      </c>
      <c r="BU28" s="180" t="str">
        <f t="shared" si="24"/>
        <v>B3B</v>
      </c>
      <c r="BV28" s="288">
        <v>24</v>
      </c>
      <c r="BW28" s="184">
        <v>30204.5</v>
      </c>
      <c r="BX28" s="180" t="str">
        <f t="shared" si="25"/>
        <v>B4B</v>
      </c>
      <c r="BY28" s="288">
        <v>24</v>
      </c>
      <c r="BZ28" s="184">
        <v>32611.5</v>
      </c>
      <c r="CA28" s="180" t="str">
        <f t="shared" si="26"/>
        <v>B1C</v>
      </c>
      <c r="CB28" s="288">
        <v>24</v>
      </c>
      <c r="CC28" s="184">
        <v>22635.24</v>
      </c>
      <c r="CD28" s="180" t="str">
        <f t="shared" si="27"/>
        <v>B2C</v>
      </c>
      <c r="CE28" s="288">
        <v>24</v>
      </c>
      <c r="CF28" s="184">
        <v>24897.47</v>
      </c>
      <c r="CG28" s="180" t="str">
        <f t="shared" si="28"/>
        <v>B3C</v>
      </c>
      <c r="CH28" s="288">
        <v>24</v>
      </c>
      <c r="CI28" s="184">
        <v>27397.47</v>
      </c>
      <c r="CJ28" s="180" t="str">
        <f t="shared" si="29"/>
        <v>B4C</v>
      </c>
      <c r="CK28" s="288">
        <v>24</v>
      </c>
      <c r="CL28" s="183">
        <v>30076.91</v>
      </c>
      <c r="CM28" s="180" t="str">
        <f t="shared" si="30"/>
        <v>B1D</v>
      </c>
      <c r="CN28" s="288">
        <v>24</v>
      </c>
      <c r="CO28" s="184">
        <v>23734.5</v>
      </c>
      <c r="CP28" s="180" t="str">
        <f t="shared" si="31"/>
        <v>B2D</v>
      </c>
      <c r="CQ28" s="288">
        <v>24</v>
      </c>
      <c r="CR28" s="184">
        <v>26234.5</v>
      </c>
      <c r="CS28" s="180" t="str">
        <f t="shared" si="32"/>
        <v>B3D</v>
      </c>
      <c r="CT28" s="288">
        <v>24</v>
      </c>
      <c r="CU28" s="184">
        <v>29219.5</v>
      </c>
      <c r="CV28" s="180" t="str">
        <f t="shared" si="33"/>
        <v>B4D</v>
      </c>
      <c r="CW28" s="288">
        <v>24</v>
      </c>
      <c r="CX28" s="183">
        <v>31459.5</v>
      </c>
      <c r="CY28" s="16"/>
    </row>
    <row r="29" spans="1:103" x14ac:dyDescent="0.2">
      <c r="A29" s="180" t="str">
        <f t="shared" si="0"/>
        <v>A11</v>
      </c>
      <c r="B29" s="181">
        <v>25</v>
      </c>
      <c r="C29" s="183">
        <v>33005</v>
      </c>
      <c r="D29" s="180" t="str">
        <f t="shared" si="1"/>
        <v>A12</v>
      </c>
      <c r="E29" s="181">
        <v>25</v>
      </c>
      <c r="F29" s="184">
        <v>35005</v>
      </c>
      <c r="G29" s="180" t="str">
        <f t="shared" si="2"/>
        <v>A21</v>
      </c>
      <c r="H29" s="181">
        <v>25</v>
      </c>
      <c r="I29" s="184">
        <v>37880</v>
      </c>
      <c r="J29" s="180" t="str">
        <f t="shared" si="3"/>
        <v>A22</v>
      </c>
      <c r="K29" s="181">
        <v>25</v>
      </c>
      <c r="L29" s="184">
        <v>40880</v>
      </c>
      <c r="M29" s="180" t="str">
        <f t="shared" si="4"/>
        <v>A23</v>
      </c>
      <c r="N29" s="181">
        <v>25</v>
      </c>
      <c r="O29" s="184">
        <v>43880</v>
      </c>
      <c r="P29" s="180" t="str">
        <f t="shared" si="5"/>
        <v>A31</v>
      </c>
      <c r="Q29" s="181">
        <v>25</v>
      </c>
      <c r="R29" s="184">
        <f t="shared" ref="R29:R34" si="40">R28</f>
        <v>44860</v>
      </c>
      <c r="S29" s="180" t="str">
        <f t="shared" si="6"/>
        <v>A32</v>
      </c>
      <c r="T29" s="181">
        <v>25</v>
      </c>
      <c r="U29" s="184">
        <f t="shared" ref="U29:U34" si="41">U28</f>
        <v>48360</v>
      </c>
      <c r="V29" s="180" t="str">
        <f t="shared" si="7"/>
        <v>A33</v>
      </c>
      <c r="W29" s="181">
        <v>25</v>
      </c>
      <c r="X29" s="184">
        <f t="shared" ref="X29:X34" si="42">X28</f>
        <v>51360</v>
      </c>
      <c r="Y29" s="180" t="str">
        <f t="shared" si="8"/>
        <v>A41</v>
      </c>
      <c r="Z29" s="181">
        <v>25</v>
      </c>
      <c r="AA29" s="184">
        <f t="shared" si="34"/>
        <v>52990</v>
      </c>
      <c r="AB29" s="180" t="str">
        <f t="shared" si="9"/>
        <v>A42</v>
      </c>
      <c r="AC29" s="181">
        <v>25</v>
      </c>
      <c r="AD29" s="184">
        <f t="shared" si="35"/>
        <v>55990</v>
      </c>
      <c r="AE29" s="180" t="str">
        <f t="shared" si="10"/>
        <v>A43</v>
      </c>
      <c r="AF29" s="181">
        <v>25</v>
      </c>
      <c r="AG29" s="184">
        <f t="shared" si="36"/>
        <v>58990</v>
      </c>
      <c r="AH29" s="180" t="str">
        <f t="shared" si="11"/>
        <v>A51</v>
      </c>
      <c r="AI29" s="181">
        <v>25</v>
      </c>
      <c r="AJ29" s="184">
        <f t="shared" si="37"/>
        <v>60780</v>
      </c>
      <c r="AK29" s="180" t="str">
        <f t="shared" si="12"/>
        <v>A52</v>
      </c>
      <c r="AL29" s="181">
        <v>25</v>
      </c>
      <c r="AM29" s="184">
        <f t="shared" si="38"/>
        <v>63780</v>
      </c>
      <c r="AN29" s="180" t="str">
        <f t="shared" si="13"/>
        <v>A53</v>
      </c>
      <c r="AO29" s="181">
        <v>25</v>
      </c>
      <c r="AP29" s="184">
        <f t="shared" si="39"/>
        <v>66780</v>
      </c>
      <c r="AQ29" s="180" t="str">
        <f t="shared" si="14"/>
        <v>BB1</v>
      </c>
      <c r="AR29" s="181">
        <v>25</v>
      </c>
      <c r="AS29" s="184">
        <v>23127.439999999999</v>
      </c>
      <c r="AT29" s="180" t="str">
        <f t="shared" si="15"/>
        <v>BB2</v>
      </c>
      <c r="AU29" s="181">
        <v>25</v>
      </c>
      <c r="AV29" s="184">
        <v>25386.54</v>
      </c>
      <c r="AW29" s="180" t="str">
        <f t="shared" si="16"/>
        <v>BB3</v>
      </c>
      <c r="AX29" s="288">
        <v>25</v>
      </c>
      <c r="AY29" s="184">
        <v>27813.9</v>
      </c>
      <c r="AZ29" s="180" t="str">
        <f t="shared" si="17"/>
        <v>BB4</v>
      </c>
      <c r="BA29" s="288">
        <v>25</v>
      </c>
      <c r="BB29" s="184">
        <v>30631.45</v>
      </c>
      <c r="BC29" s="180" t="str">
        <f t="shared" si="18"/>
        <v>B1A</v>
      </c>
      <c r="BD29" s="288">
        <v>25</v>
      </c>
      <c r="BE29" s="184">
        <v>23127.439999999999</v>
      </c>
      <c r="BF29" s="180" t="str">
        <f t="shared" si="19"/>
        <v>B2A</v>
      </c>
      <c r="BG29" s="288">
        <v>25</v>
      </c>
      <c r="BH29" s="184">
        <v>25648.62</v>
      </c>
      <c r="BI29" s="180" t="str">
        <f t="shared" si="20"/>
        <v>B3A</v>
      </c>
      <c r="BJ29" s="288">
        <v>25</v>
      </c>
      <c r="BK29" s="184">
        <v>28695.61</v>
      </c>
      <c r="BL29" s="180" t="str">
        <f t="shared" si="21"/>
        <v>B4A</v>
      </c>
      <c r="BM29" s="288">
        <v>25</v>
      </c>
      <c r="BN29" s="184">
        <v>30631.45</v>
      </c>
      <c r="BO29" s="180" t="str">
        <f t="shared" si="22"/>
        <v>B1B</v>
      </c>
      <c r="BP29" s="288">
        <v>25</v>
      </c>
      <c r="BQ29" s="184">
        <v>24829.5</v>
      </c>
      <c r="BR29" s="180" t="str">
        <f t="shared" si="23"/>
        <v>B2B</v>
      </c>
      <c r="BS29" s="288">
        <v>25</v>
      </c>
      <c r="BT29" s="184">
        <v>27829.5</v>
      </c>
      <c r="BU29" s="180" t="str">
        <f t="shared" si="24"/>
        <v>B3B</v>
      </c>
      <c r="BV29" s="288">
        <v>25</v>
      </c>
      <c r="BW29" s="184">
        <v>30829.5</v>
      </c>
      <c r="BX29" s="180" t="str">
        <f t="shared" si="25"/>
        <v>B4B</v>
      </c>
      <c r="BY29" s="288">
        <v>25</v>
      </c>
      <c r="BZ29" s="184">
        <v>33355.5</v>
      </c>
      <c r="CA29" s="180" t="str">
        <f t="shared" si="26"/>
        <v>B1C</v>
      </c>
      <c r="CB29" s="288">
        <v>25</v>
      </c>
      <c r="CC29" s="184">
        <v>23127.439999999999</v>
      </c>
      <c r="CD29" s="180" t="str">
        <f t="shared" si="27"/>
        <v>B2C</v>
      </c>
      <c r="CE29" s="288">
        <v>25</v>
      </c>
      <c r="CF29" s="184">
        <v>25521.74</v>
      </c>
      <c r="CG29" s="180" t="str">
        <f t="shared" si="28"/>
        <v>B3C</v>
      </c>
      <c r="CH29" s="288">
        <v>25</v>
      </c>
      <c r="CI29" s="184">
        <v>28021.74</v>
      </c>
      <c r="CJ29" s="180" t="str">
        <f t="shared" si="29"/>
        <v>B4C</v>
      </c>
      <c r="CK29" s="288">
        <v>25</v>
      </c>
      <c r="CL29" s="183">
        <v>30631.45</v>
      </c>
      <c r="CM29" s="180" t="str">
        <f t="shared" si="30"/>
        <v>B1D</v>
      </c>
      <c r="CN29" s="288">
        <v>25</v>
      </c>
      <c r="CO29" s="184">
        <v>24359.5</v>
      </c>
      <c r="CP29" s="180" t="str">
        <f t="shared" si="31"/>
        <v>B2D</v>
      </c>
      <c r="CQ29" s="288">
        <v>25</v>
      </c>
      <c r="CR29" s="184">
        <v>26859.5</v>
      </c>
      <c r="CS29" s="180" t="str">
        <f t="shared" si="32"/>
        <v>B3D</v>
      </c>
      <c r="CT29" s="288">
        <v>25</v>
      </c>
      <c r="CU29" s="184">
        <v>29733.5</v>
      </c>
      <c r="CV29" s="180" t="str">
        <f t="shared" si="33"/>
        <v>B4D</v>
      </c>
      <c r="CW29" s="288">
        <v>25</v>
      </c>
      <c r="CX29" s="183">
        <v>31973.5</v>
      </c>
      <c r="CY29" s="16"/>
    </row>
    <row r="30" spans="1:103" x14ac:dyDescent="0.2">
      <c r="A30" s="180" t="str">
        <f t="shared" si="0"/>
        <v>A11</v>
      </c>
      <c r="B30" s="181">
        <v>26</v>
      </c>
      <c r="C30" s="183">
        <v>33450</v>
      </c>
      <c r="D30" s="180" t="str">
        <f t="shared" si="1"/>
        <v>A12</v>
      </c>
      <c r="E30" s="181">
        <v>26</v>
      </c>
      <c r="F30" s="184">
        <v>35450</v>
      </c>
      <c r="G30" s="180" t="str">
        <f t="shared" si="2"/>
        <v>A21</v>
      </c>
      <c r="H30" s="181">
        <v>26</v>
      </c>
      <c r="I30" s="184">
        <v>38360</v>
      </c>
      <c r="J30" s="180" t="str">
        <f t="shared" si="3"/>
        <v>A22</v>
      </c>
      <c r="K30" s="181">
        <v>26</v>
      </c>
      <c r="L30" s="184">
        <v>41360</v>
      </c>
      <c r="M30" s="180" t="str">
        <f t="shared" si="4"/>
        <v>A23</v>
      </c>
      <c r="N30" s="181">
        <v>26</v>
      </c>
      <c r="O30" s="184">
        <v>43951.59</v>
      </c>
      <c r="P30" s="180" t="str">
        <f t="shared" si="5"/>
        <v>A31</v>
      </c>
      <c r="Q30" s="181">
        <v>26</v>
      </c>
      <c r="R30" s="184">
        <f t="shared" si="40"/>
        <v>44860</v>
      </c>
      <c r="S30" s="180" t="str">
        <f t="shared" si="6"/>
        <v>A32</v>
      </c>
      <c r="T30" s="181">
        <v>26</v>
      </c>
      <c r="U30" s="184">
        <f t="shared" si="41"/>
        <v>48360</v>
      </c>
      <c r="V30" s="180" t="str">
        <f t="shared" si="7"/>
        <v>A33</v>
      </c>
      <c r="W30" s="181">
        <v>26</v>
      </c>
      <c r="X30" s="184">
        <f t="shared" si="42"/>
        <v>51360</v>
      </c>
      <c r="Y30" s="180" t="str">
        <f t="shared" si="8"/>
        <v>A41</v>
      </c>
      <c r="Z30" s="181">
        <v>26</v>
      </c>
      <c r="AA30" s="184">
        <f t="shared" si="34"/>
        <v>52990</v>
      </c>
      <c r="AB30" s="180" t="str">
        <f t="shared" si="9"/>
        <v>A42</v>
      </c>
      <c r="AC30" s="181">
        <v>26</v>
      </c>
      <c r="AD30" s="184">
        <f t="shared" si="35"/>
        <v>55990</v>
      </c>
      <c r="AE30" s="180" t="str">
        <f t="shared" si="10"/>
        <v>A43</v>
      </c>
      <c r="AF30" s="181">
        <v>26</v>
      </c>
      <c r="AG30" s="184">
        <f t="shared" si="36"/>
        <v>58990</v>
      </c>
      <c r="AH30" s="180" t="str">
        <f t="shared" si="11"/>
        <v>A51</v>
      </c>
      <c r="AI30" s="181">
        <v>26</v>
      </c>
      <c r="AJ30" s="184">
        <f t="shared" si="37"/>
        <v>60780</v>
      </c>
      <c r="AK30" s="180" t="str">
        <f t="shared" si="12"/>
        <v>A52</v>
      </c>
      <c r="AL30" s="181">
        <v>26</v>
      </c>
      <c r="AM30" s="184">
        <f t="shared" si="38"/>
        <v>63780</v>
      </c>
      <c r="AN30" s="180" t="str">
        <f t="shared" si="13"/>
        <v>A53</v>
      </c>
      <c r="AO30" s="181">
        <v>26</v>
      </c>
      <c r="AP30" s="184">
        <f t="shared" si="39"/>
        <v>66780</v>
      </c>
      <c r="AQ30" s="180" t="str">
        <f t="shared" si="14"/>
        <v>BB1</v>
      </c>
      <c r="AR30" s="181">
        <v>26</v>
      </c>
      <c r="AS30" s="184">
        <v>23127.439999999999</v>
      </c>
      <c r="AT30" s="180" t="str">
        <f t="shared" si="15"/>
        <v>BB2</v>
      </c>
      <c r="AU30" s="181">
        <v>26</v>
      </c>
      <c r="AV30" s="184">
        <v>25386.54</v>
      </c>
      <c r="AW30" s="180" t="str">
        <f t="shared" si="16"/>
        <v>BB3</v>
      </c>
      <c r="AX30" s="288">
        <v>26</v>
      </c>
      <c r="AY30" s="184">
        <v>27813.9</v>
      </c>
      <c r="AZ30" s="180" t="str">
        <f t="shared" si="17"/>
        <v>BB4</v>
      </c>
      <c r="BA30" s="288">
        <v>26</v>
      </c>
      <c r="BB30" s="184">
        <v>30631.45</v>
      </c>
      <c r="BC30" s="180" t="str">
        <f t="shared" si="18"/>
        <v>B1A</v>
      </c>
      <c r="BD30" s="288">
        <v>26</v>
      </c>
      <c r="BE30" s="184">
        <v>23127.439999999999</v>
      </c>
      <c r="BF30" s="180" t="str">
        <f t="shared" si="19"/>
        <v>B2A</v>
      </c>
      <c r="BG30" s="288">
        <v>26</v>
      </c>
      <c r="BH30" s="184">
        <v>25648.62</v>
      </c>
      <c r="BI30" s="180" t="str">
        <f t="shared" si="20"/>
        <v>B3A</v>
      </c>
      <c r="BJ30" s="288">
        <v>26</v>
      </c>
      <c r="BK30" s="184">
        <v>28695.61</v>
      </c>
      <c r="BL30" s="180" t="str">
        <f t="shared" si="21"/>
        <v>B4A</v>
      </c>
      <c r="BM30" s="288">
        <v>26</v>
      </c>
      <c r="BN30" s="184">
        <v>30631.45</v>
      </c>
      <c r="BO30" s="180" t="str">
        <f t="shared" si="22"/>
        <v>B1B</v>
      </c>
      <c r="BP30" s="288">
        <v>26</v>
      </c>
      <c r="BQ30" s="184">
        <v>24829.5</v>
      </c>
      <c r="BR30" s="180" t="str">
        <f t="shared" si="23"/>
        <v>B2B</v>
      </c>
      <c r="BS30" s="288">
        <v>26</v>
      </c>
      <c r="BT30" s="184">
        <v>27829.5</v>
      </c>
      <c r="BU30" s="180" t="str">
        <f t="shared" si="24"/>
        <v>B3B</v>
      </c>
      <c r="BV30" s="288">
        <v>26</v>
      </c>
      <c r="BW30" s="184">
        <v>30829.5</v>
      </c>
      <c r="BX30" s="180" t="str">
        <f t="shared" si="25"/>
        <v>B4B</v>
      </c>
      <c r="BY30" s="288">
        <v>26</v>
      </c>
      <c r="BZ30" s="184">
        <v>33355.5</v>
      </c>
      <c r="CA30" s="180" t="str">
        <f t="shared" si="26"/>
        <v>B1C</v>
      </c>
      <c r="CB30" s="288">
        <v>26</v>
      </c>
      <c r="CC30" s="184">
        <v>23127.439999999999</v>
      </c>
      <c r="CD30" s="180" t="str">
        <f t="shared" si="27"/>
        <v>B2C</v>
      </c>
      <c r="CE30" s="288">
        <v>26</v>
      </c>
      <c r="CF30" s="184">
        <v>25521.74</v>
      </c>
      <c r="CG30" s="180" t="str">
        <f t="shared" si="28"/>
        <v>B3C</v>
      </c>
      <c r="CH30" s="288">
        <v>26</v>
      </c>
      <c r="CI30" s="184">
        <v>28021.74</v>
      </c>
      <c r="CJ30" s="180" t="str">
        <f t="shared" si="29"/>
        <v>B4C</v>
      </c>
      <c r="CK30" s="288">
        <v>26</v>
      </c>
      <c r="CL30" s="183">
        <v>30631.45</v>
      </c>
      <c r="CM30" s="180" t="str">
        <f t="shared" si="30"/>
        <v>B1D</v>
      </c>
      <c r="CN30" s="288">
        <v>26</v>
      </c>
      <c r="CO30" s="184">
        <v>24359.5</v>
      </c>
      <c r="CP30" s="180" t="str">
        <f t="shared" si="31"/>
        <v>B2D</v>
      </c>
      <c r="CQ30" s="288">
        <v>26</v>
      </c>
      <c r="CR30" s="184">
        <v>26859.5</v>
      </c>
      <c r="CS30" s="180" t="str">
        <f t="shared" si="32"/>
        <v>B3D</v>
      </c>
      <c r="CT30" s="288">
        <v>26</v>
      </c>
      <c r="CU30" s="184">
        <v>29733.5</v>
      </c>
      <c r="CV30" s="180" t="str">
        <f t="shared" si="33"/>
        <v>B4D</v>
      </c>
      <c r="CW30" s="288">
        <v>26</v>
      </c>
      <c r="CX30" s="183">
        <v>31973.5</v>
      </c>
      <c r="CY30" s="16"/>
    </row>
    <row r="31" spans="1:103" x14ac:dyDescent="0.2">
      <c r="A31" s="180" t="str">
        <f t="shared" si="0"/>
        <v>A11</v>
      </c>
      <c r="B31" s="181">
        <v>27</v>
      </c>
      <c r="C31" s="183">
        <v>33895</v>
      </c>
      <c r="D31" s="180" t="str">
        <f t="shared" si="1"/>
        <v>A12</v>
      </c>
      <c r="E31" s="181">
        <v>27</v>
      </c>
      <c r="F31" s="184">
        <v>35895</v>
      </c>
      <c r="G31" s="180" t="str">
        <f t="shared" si="2"/>
        <v>A21</v>
      </c>
      <c r="H31" s="181">
        <v>27</v>
      </c>
      <c r="I31" s="184">
        <f>I30</f>
        <v>38360</v>
      </c>
      <c r="J31" s="180" t="str">
        <f t="shared" si="3"/>
        <v>A22</v>
      </c>
      <c r="K31" s="181">
        <v>27</v>
      </c>
      <c r="L31" s="184">
        <f>L30</f>
        <v>41360</v>
      </c>
      <c r="M31" s="180" t="str">
        <f t="shared" si="4"/>
        <v>A23</v>
      </c>
      <c r="N31" s="181">
        <v>27</v>
      </c>
      <c r="O31" s="184">
        <f>O30</f>
        <v>43951.59</v>
      </c>
      <c r="P31" s="180" t="str">
        <f t="shared" si="5"/>
        <v>A31</v>
      </c>
      <c r="Q31" s="181">
        <v>27</v>
      </c>
      <c r="R31" s="184">
        <f t="shared" si="40"/>
        <v>44860</v>
      </c>
      <c r="S31" s="180" t="str">
        <f t="shared" si="6"/>
        <v>A32</v>
      </c>
      <c r="T31" s="181">
        <v>27</v>
      </c>
      <c r="U31" s="184">
        <f t="shared" si="41"/>
        <v>48360</v>
      </c>
      <c r="V31" s="180" t="str">
        <f t="shared" si="7"/>
        <v>A33</v>
      </c>
      <c r="W31" s="181">
        <v>27</v>
      </c>
      <c r="X31" s="184">
        <f t="shared" si="42"/>
        <v>51360</v>
      </c>
      <c r="Y31" s="180" t="str">
        <f t="shared" si="8"/>
        <v>A41</v>
      </c>
      <c r="Z31" s="181">
        <v>27</v>
      </c>
      <c r="AA31" s="184">
        <f t="shared" si="34"/>
        <v>52990</v>
      </c>
      <c r="AB31" s="180" t="str">
        <f t="shared" si="9"/>
        <v>A42</v>
      </c>
      <c r="AC31" s="181">
        <v>27</v>
      </c>
      <c r="AD31" s="184">
        <f t="shared" si="35"/>
        <v>55990</v>
      </c>
      <c r="AE31" s="180" t="str">
        <f t="shared" si="10"/>
        <v>A43</v>
      </c>
      <c r="AF31" s="181">
        <v>27</v>
      </c>
      <c r="AG31" s="183">
        <f t="shared" si="36"/>
        <v>58990</v>
      </c>
      <c r="AH31" s="180" t="str">
        <f t="shared" si="11"/>
        <v>A51</v>
      </c>
      <c r="AI31" s="181">
        <v>27</v>
      </c>
      <c r="AJ31" s="184">
        <f t="shared" si="37"/>
        <v>60780</v>
      </c>
      <c r="AK31" s="180" t="str">
        <f t="shared" si="12"/>
        <v>A52</v>
      </c>
      <c r="AL31" s="181">
        <v>27</v>
      </c>
      <c r="AM31" s="183">
        <f t="shared" si="38"/>
        <v>63780</v>
      </c>
      <c r="AN31" s="180" t="str">
        <f t="shared" si="13"/>
        <v>A53</v>
      </c>
      <c r="AO31" s="181">
        <v>27</v>
      </c>
      <c r="AP31" s="184">
        <f t="shared" si="39"/>
        <v>66780</v>
      </c>
      <c r="AQ31" s="180" t="str">
        <f t="shared" si="14"/>
        <v>BB1</v>
      </c>
      <c r="AR31" s="181">
        <v>27</v>
      </c>
      <c r="AS31" s="183">
        <v>23619.63</v>
      </c>
      <c r="AT31" s="180" t="str">
        <f t="shared" si="15"/>
        <v>BB2</v>
      </c>
      <c r="AU31" s="181">
        <v>27</v>
      </c>
      <c r="AV31" s="183">
        <v>25878.73</v>
      </c>
      <c r="AW31" s="180" t="str">
        <f t="shared" si="16"/>
        <v>BB3</v>
      </c>
      <c r="AX31" s="288">
        <v>27</v>
      </c>
      <c r="AY31" s="183">
        <v>28256.14</v>
      </c>
      <c r="AZ31" s="180" t="str">
        <f t="shared" si="17"/>
        <v>BB4</v>
      </c>
      <c r="BA31" s="288">
        <v>27</v>
      </c>
      <c r="BB31" s="183">
        <v>31185.99</v>
      </c>
      <c r="BC31" s="180" t="str">
        <f t="shared" si="18"/>
        <v>B1A</v>
      </c>
      <c r="BD31" s="288">
        <v>27</v>
      </c>
      <c r="BE31" s="183">
        <v>23619.63</v>
      </c>
      <c r="BF31" s="180" t="str">
        <f t="shared" si="19"/>
        <v>B2A</v>
      </c>
      <c r="BG31" s="288">
        <v>27</v>
      </c>
      <c r="BH31" s="183">
        <v>26272.89</v>
      </c>
      <c r="BI31" s="180" t="str">
        <f t="shared" si="20"/>
        <v>B3A</v>
      </c>
      <c r="BJ31" s="288">
        <v>27</v>
      </c>
      <c r="BK31" s="183">
        <v>29319.88</v>
      </c>
      <c r="BL31" s="180" t="str">
        <f t="shared" si="21"/>
        <v>B4A</v>
      </c>
      <c r="BM31" s="288">
        <v>27</v>
      </c>
      <c r="BN31" s="183">
        <v>31185.99</v>
      </c>
      <c r="BO31" s="180" t="str">
        <f t="shared" si="22"/>
        <v>B1B</v>
      </c>
      <c r="BP31" s="288">
        <v>27</v>
      </c>
      <c r="BQ31" s="183">
        <v>25454.5</v>
      </c>
      <c r="BR31" s="180" t="str">
        <f t="shared" si="23"/>
        <v>B2B</v>
      </c>
      <c r="BS31" s="288">
        <v>27</v>
      </c>
      <c r="BT31" s="183">
        <v>28454.5</v>
      </c>
      <c r="BU31" s="180" t="str">
        <f t="shared" si="24"/>
        <v>B3B</v>
      </c>
      <c r="BV31" s="288">
        <v>27</v>
      </c>
      <c r="BW31" s="183">
        <v>31454.5</v>
      </c>
      <c r="BX31" s="180" t="str">
        <f t="shared" si="25"/>
        <v>B4B</v>
      </c>
      <c r="BY31" s="288">
        <v>27</v>
      </c>
      <c r="BZ31" s="183">
        <v>34099.5</v>
      </c>
      <c r="CA31" s="180" t="str">
        <f t="shared" si="26"/>
        <v>B1C</v>
      </c>
      <c r="CB31" s="288">
        <v>27</v>
      </c>
      <c r="CC31" s="183">
        <v>23646.01</v>
      </c>
      <c r="CD31" s="180" t="str">
        <f t="shared" si="27"/>
        <v>B2C</v>
      </c>
      <c r="CE31" s="288">
        <v>27</v>
      </c>
      <c r="CF31" s="183">
        <v>26146.01</v>
      </c>
      <c r="CG31" s="180" t="str">
        <f t="shared" si="28"/>
        <v>B3C</v>
      </c>
      <c r="CH31" s="288">
        <v>27</v>
      </c>
      <c r="CI31" s="183">
        <v>28646.01</v>
      </c>
      <c r="CJ31" s="180" t="str">
        <f t="shared" si="29"/>
        <v>B4C</v>
      </c>
      <c r="CK31" s="288">
        <v>27</v>
      </c>
      <c r="CL31" s="183">
        <v>31185.99</v>
      </c>
      <c r="CM31" s="180" t="str">
        <f t="shared" si="30"/>
        <v>B1D</v>
      </c>
      <c r="CN31" s="288">
        <v>27</v>
      </c>
      <c r="CO31" s="183">
        <v>24984.5</v>
      </c>
      <c r="CP31" s="180" t="str">
        <f t="shared" si="31"/>
        <v>B2D</v>
      </c>
      <c r="CQ31" s="288">
        <v>27</v>
      </c>
      <c r="CR31" s="183">
        <v>27484.5</v>
      </c>
      <c r="CS31" s="180" t="str">
        <f t="shared" si="32"/>
        <v>B3D</v>
      </c>
      <c r="CT31" s="288">
        <v>27</v>
      </c>
      <c r="CU31" s="183">
        <v>30247.5</v>
      </c>
      <c r="CV31" s="180" t="str">
        <f t="shared" si="33"/>
        <v>B4D</v>
      </c>
      <c r="CW31" s="288">
        <v>27</v>
      </c>
      <c r="CX31" s="183">
        <v>32487.5</v>
      </c>
      <c r="CY31" s="16"/>
    </row>
    <row r="32" spans="1:103" x14ac:dyDescent="0.2">
      <c r="A32" s="180" t="str">
        <f t="shared" si="0"/>
        <v>A11</v>
      </c>
      <c r="B32" s="181">
        <v>28</v>
      </c>
      <c r="C32" s="183">
        <f>C31</f>
        <v>33895</v>
      </c>
      <c r="D32" s="180" t="str">
        <f t="shared" si="1"/>
        <v>A12</v>
      </c>
      <c r="E32" s="181">
        <v>28</v>
      </c>
      <c r="F32" s="184">
        <f>F31</f>
        <v>35895</v>
      </c>
      <c r="G32" s="180" t="str">
        <f t="shared" si="2"/>
        <v>A21</v>
      </c>
      <c r="H32" s="181">
        <v>28</v>
      </c>
      <c r="I32" s="184">
        <f>I31</f>
        <v>38360</v>
      </c>
      <c r="J32" s="180" t="str">
        <f t="shared" si="3"/>
        <v>A22</v>
      </c>
      <c r="K32" s="181">
        <v>28</v>
      </c>
      <c r="L32" s="184">
        <f>L31</f>
        <v>41360</v>
      </c>
      <c r="M32" s="180" t="str">
        <f t="shared" si="4"/>
        <v>A23</v>
      </c>
      <c r="N32" s="181">
        <v>28</v>
      </c>
      <c r="O32" s="184">
        <f>O31</f>
        <v>43951.59</v>
      </c>
      <c r="P32" s="180" t="str">
        <f t="shared" si="5"/>
        <v>A31</v>
      </c>
      <c r="Q32" s="181">
        <v>28</v>
      </c>
      <c r="R32" s="184">
        <f t="shared" si="40"/>
        <v>44860</v>
      </c>
      <c r="S32" s="180" t="str">
        <f t="shared" si="6"/>
        <v>A32</v>
      </c>
      <c r="T32" s="181">
        <v>28</v>
      </c>
      <c r="U32" s="184">
        <f t="shared" si="41"/>
        <v>48360</v>
      </c>
      <c r="V32" s="180" t="str">
        <f t="shared" si="7"/>
        <v>A33</v>
      </c>
      <c r="W32" s="181">
        <v>28</v>
      </c>
      <c r="X32" s="184">
        <f t="shared" si="42"/>
        <v>51360</v>
      </c>
      <c r="Y32" s="180" t="str">
        <f t="shared" si="8"/>
        <v>A41</v>
      </c>
      <c r="Z32" s="181">
        <v>28</v>
      </c>
      <c r="AA32" s="184">
        <f t="shared" si="34"/>
        <v>52990</v>
      </c>
      <c r="AB32" s="180" t="str">
        <f t="shared" si="9"/>
        <v>A42</v>
      </c>
      <c r="AC32" s="181">
        <v>28</v>
      </c>
      <c r="AD32" s="184">
        <f t="shared" si="35"/>
        <v>55990</v>
      </c>
      <c r="AE32" s="180" t="str">
        <f t="shared" si="10"/>
        <v>A43</v>
      </c>
      <c r="AF32" s="181">
        <v>28</v>
      </c>
      <c r="AG32" s="183">
        <f t="shared" si="36"/>
        <v>58990</v>
      </c>
      <c r="AH32" s="180" t="str">
        <f t="shared" si="11"/>
        <v>A51</v>
      </c>
      <c r="AI32" s="181">
        <v>28</v>
      </c>
      <c r="AJ32" s="184">
        <f t="shared" si="37"/>
        <v>60780</v>
      </c>
      <c r="AK32" s="180" t="str">
        <f t="shared" si="12"/>
        <v>A52</v>
      </c>
      <c r="AL32" s="181">
        <v>28</v>
      </c>
      <c r="AM32" s="183">
        <f t="shared" si="38"/>
        <v>63780</v>
      </c>
      <c r="AN32" s="180" t="str">
        <f t="shared" si="13"/>
        <v>A53</v>
      </c>
      <c r="AO32" s="181">
        <v>28</v>
      </c>
      <c r="AP32" s="184">
        <f t="shared" si="39"/>
        <v>66780</v>
      </c>
      <c r="AQ32" s="180" t="str">
        <f t="shared" si="14"/>
        <v>BB1</v>
      </c>
      <c r="AR32" s="181">
        <v>28</v>
      </c>
      <c r="AS32" s="183">
        <v>23619.63</v>
      </c>
      <c r="AT32" s="180" t="str">
        <f t="shared" si="15"/>
        <v>BB2</v>
      </c>
      <c r="AU32" s="181">
        <v>28</v>
      </c>
      <c r="AV32" s="183">
        <v>25878.73</v>
      </c>
      <c r="AW32" s="180" t="str">
        <f t="shared" si="16"/>
        <v>BB3</v>
      </c>
      <c r="AX32" s="288">
        <v>28</v>
      </c>
      <c r="AY32" s="183">
        <v>28256.14</v>
      </c>
      <c r="AZ32" s="180" t="str">
        <f t="shared" si="17"/>
        <v>BB4</v>
      </c>
      <c r="BA32" s="288">
        <v>28</v>
      </c>
      <c r="BB32" s="183">
        <v>31185.99</v>
      </c>
      <c r="BC32" s="180" t="str">
        <f t="shared" si="18"/>
        <v>B1A</v>
      </c>
      <c r="BD32" s="288">
        <v>28</v>
      </c>
      <c r="BE32" s="183">
        <v>23619.63</v>
      </c>
      <c r="BF32" s="180" t="str">
        <f t="shared" si="19"/>
        <v>B2A</v>
      </c>
      <c r="BG32" s="288">
        <v>28</v>
      </c>
      <c r="BH32" s="183">
        <v>26272.89</v>
      </c>
      <c r="BI32" s="180" t="str">
        <f t="shared" si="20"/>
        <v>B3A</v>
      </c>
      <c r="BJ32" s="288">
        <v>28</v>
      </c>
      <c r="BK32" s="183">
        <v>29319.88</v>
      </c>
      <c r="BL32" s="180" t="str">
        <f t="shared" si="21"/>
        <v>B4A</v>
      </c>
      <c r="BM32" s="288">
        <v>28</v>
      </c>
      <c r="BN32" s="183">
        <v>31185.99</v>
      </c>
      <c r="BO32" s="180" t="str">
        <f t="shared" si="22"/>
        <v>B1B</v>
      </c>
      <c r="BP32" s="288">
        <v>28</v>
      </c>
      <c r="BQ32" s="183">
        <v>25454.5</v>
      </c>
      <c r="BR32" s="180" t="str">
        <f t="shared" si="23"/>
        <v>B2B</v>
      </c>
      <c r="BS32" s="288">
        <v>28</v>
      </c>
      <c r="BT32" s="183">
        <v>28454.5</v>
      </c>
      <c r="BU32" s="180" t="str">
        <f t="shared" si="24"/>
        <v>B3B</v>
      </c>
      <c r="BV32" s="288">
        <v>28</v>
      </c>
      <c r="BW32" s="183">
        <v>31454.5</v>
      </c>
      <c r="BX32" s="180" t="str">
        <f t="shared" si="25"/>
        <v>B4B</v>
      </c>
      <c r="BY32" s="288">
        <v>28</v>
      </c>
      <c r="BZ32" s="183">
        <v>34099.5</v>
      </c>
      <c r="CA32" s="180" t="str">
        <f t="shared" si="26"/>
        <v>B1C</v>
      </c>
      <c r="CB32" s="288">
        <v>28</v>
      </c>
      <c r="CC32" s="183">
        <v>23646.01</v>
      </c>
      <c r="CD32" s="180" t="str">
        <f t="shared" si="27"/>
        <v>B2C</v>
      </c>
      <c r="CE32" s="288">
        <v>28</v>
      </c>
      <c r="CF32" s="183">
        <v>26146.01</v>
      </c>
      <c r="CG32" s="180" t="str">
        <f t="shared" si="28"/>
        <v>B3C</v>
      </c>
      <c r="CH32" s="288">
        <v>28</v>
      </c>
      <c r="CI32" s="183">
        <v>28646.01</v>
      </c>
      <c r="CJ32" s="180" t="str">
        <f t="shared" si="29"/>
        <v>B4C</v>
      </c>
      <c r="CK32" s="288">
        <v>28</v>
      </c>
      <c r="CL32" s="183">
        <v>31185.99</v>
      </c>
      <c r="CM32" s="180" t="str">
        <f t="shared" si="30"/>
        <v>B1D</v>
      </c>
      <c r="CN32" s="288">
        <v>28</v>
      </c>
      <c r="CO32" s="183">
        <v>24984.5</v>
      </c>
      <c r="CP32" s="180" t="str">
        <f t="shared" si="31"/>
        <v>B2D</v>
      </c>
      <c r="CQ32" s="288">
        <v>28</v>
      </c>
      <c r="CR32" s="183">
        <v>27484.5</v>
      </c>
      <c r="CS32" s="180" t="str">
        <f t="shared" si="32"/>
        <v>B3D</v>
      </c>
      <c r="CT32" s="288">
        <v>28</v>
      </c>
      <c r="CU32" s="183">
        <v>30247.5</v>
      </c>
      <c r="CV32" s="180" t="str">
        <f t="shared" si="33"/>
        <v>B4D</v>
      </c>
      <c r="CW32" s="288">
        <v>28</v>
      </c>
      <c r="CX32" s="183">
        <v>32487.5</v>
      </c>
      <c r="CY32" s="16"/>
    </row>
    <row r="33" spans="1:103" x14ac:dyDescent="0.2">
      <c r="A33" s="180" t="str">
        <f t="shared" si="0"/>
        <v>A11</v>
      </c>
      <c r="B33" s="181">
        <v>29</v>
      </c>
      <c r="C33" s="183">
        <f>C32</f>
        <v>33895</v>
      </c>
      <c r="D33" s="180" t="str">
        <f t="shared" si="1"/>
        <v>A12</v>
      </c>
      <c r="E33" s="181">
        <v>29</v>
      </c>
      <c r="F33" s="184">
        <f>F32</f>
        <v>35895</v>
      </c>
      <c r="G33" s="180" t="str">
        <f t="shared" si="2"/>
        <v>A21</v>
      </c>
      <c r="H33" s="181">
        <v>29</v>
      </c>
      <c r="I33" s="184">
        <f>I32</f>
        <v>38360</v>
      </c>
      <c r="J33" s="180" t="str">
        <f t="shared" si="3"/>
        <v>A22</v>
      </c>
      <c r="K33" s="181">
        <v>29</v>
      </c>
      <c r="L33" s="184">
        <f>L32</f>
        <v>41360</v>
      </c>
      <c r="M33" s="180" t="str">
        <f t="shared" si="4"/>
        <v>A23</v>
      </c>
      <c r="N33" s="181">
        <v>29</v>
      </c>
      <c r="O33" s="184">
        <f>O32</f>
        <v>43951.59</v>
      </c>
      <c r="P33" s="180" t="str">
        <f t="shared" si="5"/>
        <v>A31</v>
      </c>
      <c r="Q33" s="181">
        <v>29</v>
      </c>
      <c r="R33" s="184">
        <f t="shared" si="40"/>
        <v>44860</v>
      </c>
      <c r="S33" s="180" t="str">
        <f t="shared" si="6"/>
        <v>A32</v>
      </c>
      <c r="T33" s="181">
        <v>29</v>
      </c>
      <c r="U33" s="184">
        <f t="shared" si="41"/>
        <v>48360</v>
      </c>
      <c r="V33" s="180" t="str">
        <f t="shared" si="7"/>
        <v>A33</v>
      </c>
      <c r="W33" s="181">
        <v>29</v>
      </c>
      <c r="X33" s="184">
        <f t="shared" si="42"/>
        <v>51360</v>
      </c>
      <c r="Y33" s="180" t="str">
        <f t="shared" si="8"/>
        <v>A41</v>
      </c>
      <c r="Z33" s="181">
        <v>29</v>
      </c>
      <c r="AA33" s="184">
        <f t="shared" si="34"/>
        <v>52990</v>
      </c>
      <c r="AB33" s="180" t="str">
        <f t="shared" si="9"/>
        <v>A42</v>
      </c>
      <c r="AC33" s="181">
        <v>29</v>
      </c>
      <c r="AD33" s="184">
        <f t="shared" si="35"/>
        <v>55990</v>
      </c>
      <c r="AE33" s="180" t="str">
        <f t="shared" si="10"/>
        <v>A43</v>
      </c>
      <c r="AF33" s="181">
        <v>29</v>
      </c>
      <c r="AG33" s="183">
        <f t="shared" si="36"/>
        <v>58990</v>
      </c>
      <c r="AH33" s="180" t="str">
        <f t="shared" si="11"/>
        <v>A51</v>
      </c>
      <c r="AI33" s="181">
        <v>29</v>
      </c>
      <c r="AJ33" s="184">
        <f t="shared" si="37"/>
        <v>60780</v>
      </c>
      <c r="AK33" s="180" t="str">
        <f t="shared" si="12"/>
        <v>A52</v>
      </c>
      <c r="AL33" s="181">
        <v>29</v>
      </c>
      <c r="AM33" s="183">
        <f t="shared" si="38"/>
        <v>63780</v>
      </c>
      <c r="AN33" s="180" t="str">
        <f t="shared" si="13"/>
        <v>A53</v>
      </c>
      <c r="AO33" s="181">
        <v>29</v>
      </c>
      <c r="AP33" s="184">
        <f t="shared" si="39"/>
        <v>66780</v>
      </c>
      <c r="AQ33" s="180" t="str">
        <f t="shared" si="14"/>
        <v>BB1</v>
      </c>
      <c r="AR33" s="181">
        <v>29</v>
      </c>
      <c r="AS33" s="183">
        <v>24111.83</v>
      </c>
      <c r="AT33" s="180" t="str">
        <f t="shared" si="15"/>
        <v>BB2</v>
      </c>
      <c r="AU33" s="181">
        <v>29</v>
      </c>
      <c r="AV33" s="183">
        <v>26370.93</v>
      </c>
      <c r="AW33" s="180" t="str">
        <f t="shared" si="16"/>
        <v>BB3</v>
      </c>
      <c r="AX33" s="288">
        <v>29</v>
      </c>
      <c r="AY33" s="183">
        <v>29208.15</v>
      </c>
      <c r="AZ33" s="180" t="str">
        <f t="shared" si="17"/>
        <v>BB4</v>
      </c>
      <c r="BA33" s="288">
        <v>29</v>
      </c>
      <c r="BB33" s="183">
        <v>32294.959999999999</v>
      </c>
      <c r="BC33" s="180" t="str">
        <f t="shared" si="18"/>
        <v>B1A</v>
      </c>
      <c r="BD33" s="288">
        <v>29</v>
      </c>
      <c r="BE33" s="183">
        <v>24111.83</v>
      </c>
      <c r="BF33" s="180" t="str">
        <f t="shared" si="19"/>
        <v>B2A</v>
      </c>
      <c r="BG33" s="288">
        <v>29</v>
      </c>
      <c r="BH33" s="183">
        <v>27521.43</v>
      </c>
      <c r="BI33" s="180" t="str">
        <f t="shared" si="20"/>
        <v>B3A</v>
      </c>
      <c r="BJ33" s="288">
        <v>29</v>
      </c>
      <c r="BK33" s="183">
        <v>30568.42</v>
      </c>
      <c r="BL33" s="180" t="str">
        <f t="shared" si="21"/>
        <v>B4A</v>
      </c>
      <c r="BM33" s="288">
        <v>29</v>
      </c>
      <c r="BN33" s="183">
        <v>32294.959999999999</v>
      </c>
      <c r="BO33" s="180" t="str">
        <f t="shared" si="22"/>
        <v>B1B</v>
      </c>
      <c r="BP33" s="288">
        <v>29</v>
      </c>
      <c r="BQ33" s="183">
        <v>26079.5</v>
      </c>
      <c r="BR33" s="180" t="str">
        <f t="shared" si="23"/>
        <v>B2B</v>
      </c>
      <c r="BS33" s="288">
        <v>29</v>
      </c>
      <c r="BT33" s="183">
        <v>29079.5</v>
      </c>
      <c r="BU33" s="180" t="str">
        <f t="shared" si="24"/>
        <v>B3B</v>
      </c>
      <c r="BV33" s="288">
        <v>29</v>
      </c>
      <c r="BW33" s="183">
        <v>32079.5</v>
      </c>
      <c r="BX33" s="180" t="str">
        <f t="shared" si="25"/>
        <v>B4B</v>
      </c>
      <c r="BY33" s="288">
        <v>29</v>
      </c>
      <c r="BZ33" s="183">
        <v>35410.120000000003</v>
      </c>
      <c r="CA33" s="180" t="str">
        <f t="shared" si="26"/>
        <v>B1C</v>
      </c>
      <c r="CB33" s="288">
        <v>29</v>
      </c>
      <c r="CC33" s="183">
        <v>24270.28</v>
      </c>
      <c r="CD33" s="180" t="str">
        <f t="shared" si="27"/>
        <v>B2C</v>
      </c>
      <c r="CE33" s="288">
        <v>29</v>
      </c>
      <c r="CF33" s="183">
        <v>27194.14</v>
      </c>
      <c r="CG33" s="180" t="str">
        <f t="shared" si="28"/>
        <v>B3C</v>
      </c>
      <c r="CH33" s="288">
        <v>29</v>
      </c>
      <c r="CI33" s="183">
        <v>29270.28</v>
      </c>
      <c r="CJ33" s="180" t="str">
        <f t="shared" si="29"/>
        <v>B4C</v>
      </c>
      <c r="CK33" s="288">
        <v>29</v>
      </c>
      <c r="CL33" s="183">
        <v>32294.959999999999</v>
      </c>
      <c r="CM33" s="180" t="str">
        <f t="shared" si="30"/>
        <v>B1D</v>
      </c>
      <c r="CN33" s="288">
        <v>29</v>
      </c>
      <c r="CO33" s="183">
        <v>25609.5</v>
      </c>
      <c r="CP33" s="180" t="str">
        <f t="shared" si="31"/>
        <v>B2D</v>
      </c>
      <c r="CQ33" s="288">
        <v>29</v>
      </c>
      <c r="CR33" s="183">
        <v>28109.5</v>
      </c>
      <c r="CS33" s="180" t="str">
        <f t="shared" si="32"/>
        <v>B3D</v>
      </c>
      <c r="CT33" s="288">
        <v>29</v>
      </c>
      <c r="CU33" s="183">
        <v>31275.5</v>
      </c>
      <c r="CV33" s="180" t="str">
        <f t="shared" si="33"/>
        <v>B4D</v>
      </c>
      <c r="CW33" s="288">
        <v>29</v>
      </c>
      <c r="CX33" s="183">
        <v>33515.5</v>
      </c>
      <c r="CY33" s="16"/>
    </row>
    <row r="34" spans="1:103" x14ac:dyDescent="0.2">
      <c r="A34" s="180" t="str">
        <f t="shared" si="0"/>
        <v>A11</v>
      </c>
      <c r="B34" s="181"/>
      <c r="C34" s="183">
        <f>C33</f>
        <v>33895</v>
      </c>
      <c r="D34" s="180" t="str">
        <f t="shared" si="1"/>
        <v>A12</v>
      </c>
      <c r="E34" s="181"/>
      <c r="F34" s="184">
        <f>F33</f>
        <v>35895</v>
      </c>
      <c r="G34" s="180" t="str">
        <f t="shared" si="2"/>
        <v>A21</v>
      </c>
      <c r="H34" s="181"/>
      <c r="I34" s="184">
        <f>I33</f>
        <v>38360</v>
      </c>
      <c r="J34" s="180" t="str">
        <f t="shared" si="3"/>
        <v>A22</v>
      </c>
      <c r="K34" s="181"/>
      <c r="L34" s="184">
        <f>L33</f>
        <v>41360</v>
      </c>
      <c r="M34" s="180" t="str">
        <f t="shared" si="4"/>
        <v>A23</v>
      </c>
      <c r="N34" s="181"/>
      <c r="O34" s="184">
        <f>O33</f>
        <v>43951.59</v>
      </c>
      <c r="P34" s="180" t="str">
        <f t="shared" si="5"/>
        <v>A31</v>
      </c>
      <c r="Q34" s="181"/>
      <c r="R34" s="184">
        <f t="shared" si="40"/>
        <v>44860</v>
      </c>
      <c r="S34" s="180" t="str">
        <f t="shared" si="6"/>
        <v>A32</v>
      </c>
      <c r="T34" s="181"/>
      <c r="U34" s="184">
        <f t="shared" si="41"/>
        <v>48360</v>
      </c>
      <c r="V34" s="180" t="str">
        <f t="shared" si="7"/>
        <v>A33</v>
      </c>
      <c r="W34" s="181"/>
      <c r="X34" s="184">
        <f t="shared" si="42"/>
        <v>51360</v>
      </c>
      <c r="Y34" s="180" t="str">
        <f t="shared" si="8"/>
        <v>A41</v>
      </c>
      <c r="Z34" s="181"/>
      <c r="AA34" s="184">
        <f t="shared" si="34"/>
        <v>52990</v>
      </c>
      <c r="AB34" s="180" t="str">
        <f t="shared" si="9"/>
        <v>A42</v>
      </c>
      <c r="AC34" s="181"/>
      <c r="AD34" s="184">
        <f t="shared" si="35"/>
        <v>55990</v>
      </c>
      <c r="AE34" s="180" t="str">
        <f t="shared" si="10"/>
        <v>A43</v>
      </c>
      <c r="AF34" s="181"/>
      <c r="AG34" s="183">
        <f t="shared" si="36"/>
        <v>58990</v>
      </c>
      <c r="AH34" s="180" t="str">
        <f t="shared" si="11"/>
        <v>A51</v>
      </c>
      <c r="AI34" s="181"/>
      <c r="AJ34" s="184">
        <f t="shared" si="37"/>
        <v>60780</v>
      </c>
      <c r="AK34" s="180" t="str">
        <f t="shared" si="12"/>
        <v>A52</v>
      </c>
      <c r="AL34" s="181"/>
      <c r="AM34" s="183">
        <f t="shared" si="38"/>
        <v>63780</v>
      </c>
      <c r="AN34" s="180" t="str">
        <f t="shared" si="13"/>
        <v>A53</v>
      </c>
      <c r="AO34" s="181"/>
      <c r="AP34" s="184">
        <f t="shared" si="39"/>
        <v>66780</v>
      </c>
      <c r="AQ34" s="180" t="str">
        <f t="shared" si="14"/>
        <v>BB1</v>
      </c>
      <c r="AR34" s="181"/>
      <c r="AS34" s="183">
        <f>AS33</f>
        <v>24111.83</v>
      </c>
      <c r="AT34" s="180" t="str">
        <f t="shared" si="15"/>
        <v>BB2</v>
      </c>
      <c r="AU34" s="181"/>
      <c r="AV34" s="183">
        <f>AV33</f>
        <v>26370.93</v>
      </c>
      <c r="AW34" s="180" t="str">
        <f t="shared" si="16"/>
        <v>BB3</v>
      </c>
      <c r="AX34" s="181"/>
      <c r="AY34" s="183">
        <f>AY33</f>
        <v>29208.15</v>
      </c>
      <c r="AZ34" s="180" t="str">
        <f t="shared" si="17"/>
        <v>BB4</v>
      </c>
      <c r="BA34" s="181"/>
      <c r="BB34" s="183">
        <f>BB33</f>
        <v>32294.959999999999</v>
      </c>
      <c r="BC34" s="180" t="str">
        <f t="shared" si="18"/>
        <v>B1A</v>
      </c>
      <c r="BD34" s="181"/>
      <c r="BE34" s="183">
        <f>BE33</f>
        <v>24111.83</v>
      </c>
      <c r="BF34" s="180" t="str">
        <f t="shared" si="19"/>
        <v>B2A</v>
      </c>
      <c r="BG34" s="181"/>
      <c r="BH34" s="183">
        <f>BH33</f>
        <v>27521.43</v>
      </c>
      <c r="BI34" s="180" t="str">
        <f t="shared" si="20"/>
        <v>B3A</v>
      </c>
      <c r="BJ34" s="181"/>
      <c r="BK34" s="183">
        <f>BK33</f>
        <v>30568.42</v>
      </c>
      <c r="BL34" s="180" t="str">
        <f t="shared" si="21"/>
        <v>B4A</v>
      </c>
      <c r="BM34" s="181"/>
      <c r="BN34" s="183">
        <f>BN33</f>
        <v>32294.959999999999</v>
      </c>
      <c r="BO34" s="180" t="str">
        <f t="shared" si="22"/>
        <v>B1B</v>
      </c>
      <c r="BP34" s="181"/>
      <c r="BQ34" s="183">
        <f>BQ33</f>
        <v>26079.5</v>
      </c>
      <c r="BR34" s="180" t="str">
        <f t="shared" si="23"/>
        <v>B2B</v>
      </c>
      <c r="BS34" s="181"/>
      <c r="BT34" s="183">
        <f>BT33</f>
        <v>29079.5</v>
      </c>
      <c r="BU34" s="180" t="str">
        <f t="shared" si="24"/>
        <v>B3B</v>
      </c>
      <c r="BV34" s="181"/>
      <c r="BW34" s="183">
        <f>BW33</f>
        <v>32079.5</v>
      </c>
      <c r="BX34" s="180" t="str">
        <f t="shared" si="25"/>
        <v>B4B</v>
      </c>
      <c r="BY34" s="181"/>
      <c r="BZ34" s="183">
        <f>BZ33</f>
        <v>35410.120000000003</v>
      </c>
      <c r="CA34" s="180" t="str">
        <f t="shared" si="26"/>
        <v>B1C</v>
      </c>
      <c r="CB34" s="181"/>
      <c r="CC34" s="183">
        <f>CC33</f>
        <v>24270.28</v>
      </c>
      <c r="CD34" s="180" t="str">
        <f t="shared" si="27"/>
        <v>B2C</v>
      </c>
      <c r="CE34" s="181"/>
      <c r="CF34" s="183">
        <f>CF33</f>
        <v>27194.14</v>
      </c>
      <c r="CG34" s="180" t="str">
        <f t="shared" si="28"/>
        <v>B3C</v>
      </c>
      <c r="CH34" s="181"/>
      <c r="CI34" s="183">
        <f>CI33</f>
        <v>29270.28</v>
      </c>
      <c r="CJ34" s="180" t="str">
        <f t="shared" si="29"/>
        <v>B4C</v>
      </c>
      <c r="CK34" s="181"/>
      <c r="CL34" s="183">
        <f>CL33</f>
        <v>32294.959999999999</v>
      </c>
      <c r="CM34" s="180" t="str">
        <f t="shared" si="30"/>
        <v>B1D</v>
      </c>
      <c r="CN34" s="181"/>
      <c r="CO34" s="183">
        <f>CO33</f>
        <v>25609.5</v>
      </c>
      <c r="CP34" s="180" t="str">
        <f t="shared" si="31"/>
        <v>B2D</v>
      </c>
      <c r="CQ34" s="181"/>
      <c r="CR34" s="183">
        <f>CR33</f>
        <v>28109.5</v>
      </c>
      <c r="CS34" s="180" t="str">
        <f t="shared" si="32"/>
        <v>B3D</v>
      </c>
      <c r="CT34" s="181"/>
      <c r="CU34" s="183">
        <f>CU33</f>
        <v>31275.5</v>
      </c>
      <c r="CV34" s="180" t="str">
        <f t="shared" si="33"/>
        <v>B4D</v>
      </c>
      <c r="CW34" s="181"/>
      <c r="CX34" s="183">
        <f>CX33</f>
        <v>33515.5</v>
      </c>
      <c r="CY34" s="16"/>
    </row>
    <row r="35" spans="1:103" x14ac:dyDescent="0.2">
      <c r="A35" s="180"/>
      <c r="B35" s="181"/>
      <c r="C35" s="181"/>
      <c r="D35" s="180"/>
      <c r="E35" s="181"/>
      <c r="F35" s="182"/>
      <c r="G35" s="181"/>
      <c r="H35" s="181"/>
      <c r="I35" s="182"/>
      <c r="J35" s="181"/>
      <c r="K35" s="181"/>
      <c r="L35" s="182"/>
      <c r="M35" s="181"/>
      <c r="N35" s="181"/>
      <c r="O35" s="182"/>
      <c r="P35" s="180"/>
      <c r="Q35" s="181"/>
      <c r="R35" s="182"/>
      <c r="S35" s="180"/>
      <c r="T35" s="181"/>
      <c r="U35" s="182"/>
      <c r="V35" s="180"/>
      <c r="W35" s="181"/>
      <c r="X35" s="182"/>
      <c r="Y35" s="180"/>
      <c r="Z35" s="181"/>
      <c r="AA35" s="182"/>
      <c r="AB35" s="180"/>
      <c r="AC35" s="181"/>
      <c r="AD35" s="182"/>
      <c r="AE35" s="181"/>
      <c r="AF35" s="181"/>
      <c r="AG35" s="181"/>
      <c r="AH35" s="180"/>
      <c r="AI35" s="181"/>
      <c r="AJ35" s="182"/>
      <c r="AK35" s="181"/>
      <c r="AL35" s="181"/>
      <c r="AM35" s="181"/>
      <c r="AN35" s="180"/>
      <c r="AO35" s="181"/>
      <c r="AP35" s="182"/>
      <c r="AQ35" s="181"/>
      <c r="AR35" s="181"/>
      <c r="AS35" s="181"/>
      <c r="AT35" s="180"/>
      <c r="AU35" s="181"/>
      <c r="AV35" s="182"/>
      <c r="AW35" s="181"/>
      <c r="AX35" s="181"/>
      <c r="AY35" s="181"/>
      <c r="AZ35" s="180"/>
      <c r="BA35" s="181"/>
      <c r="BB35" s="182"/>
      <c r="BC35" s="181"/>
      <c r="BD35" s="288"/>
      <c r="BE35" s="181"/>
      <c r="BF35" s="177"/>
      <c r="BG35" s="178"/>
      <c r="BH35" s="179"/>
      <c r="BI35" s="177"/>
      <c r="BJ35" s="178"/>
      <c r="BK35" s="179"/>
      <c r="BL35" s="177"/>
      <c r="BM35" s="178"/>
      <c r="BN35" s="179"/>
      <c r="BO35" s="181"/>
      <c r="BP35" s="288"/>
      <c r="BQ35" s="181"/>
      <c r="BR35" s="177"/>
      <c r="BS35" s="178"/>
      <c r="BT35" s="179"/>
      <c r="BU35" s="177"/>
      <c r="BV35" s="178"/>
      <c r="BW35" s="179"/>
      <c r="BX35" s="177"/>
      <c r="BY35" s="178"/>
      <c r="BZ35" s="179"/>
      <c r="CA35" s="181"/>
      <c r="CB35" s="288"/>
      <c r="CC35" s="181"/>
      <c r="CD35" s="177"/>
      <c r="CE35" s="178"/>
      <c r="CF35" s="179"/>
      <c r="CG35" s="177"/>
      <c r="CH35" s="178"/>
      <c r="CI35" s="179"/>
      <c r="CJ35" s="177"/>
      <c r="CK35" s="178"/>
      <c r="CL35" s="178"/>
      <c r="CM35" s="181"/>
      <c r="CN35" s="288"/>
      <c r="CO35" s="181"/>
      <c r="CP35" s="177"/>
      <c r="CQ35" s="178"/>
      <c r="CR35" s="179"/>
      <c r="CS35" s="177"/>
      <c r="CT35" s="178"/>
      <c r="CU35" s="179"/>
      <c r="CV35" s="177"/>
      <c r="CW35" s="178"/>
      <c r="CX35" s="178"/>
      <c r="CY35" s="16"/>
    </row>
    <row r="36" spans="1:103" x14ac:dyDescent="0.2">
      <c r="A36" s="185"/>
      <c r="B36" s="186"/>
      <c r="C36" s="186"/>
      <c r="D36" s="185"/>
      <c r="E36" s="186"/>
      <c r="F36" s="187"/>
      <c r="G36" s="185"/>
      <c r="H36" s="186"/>
      <c r="I36" s="187"/>
      <c r="J36" s="185"/>
      <c r="K36" s="186"/>
      <c r="L36" s="187"/>
      <c r="M36" s="186"/>
      <c r="N36" s="186"/>
      <c r="O36" s="187"/>
      <c r="P36" s="185"/>
      <c r="Q36" s="186"/>
      <c r="R36" s="187"/>
      <c r="S36" s="185"/>
      <c r="T36" s="186"/>
      <c r="U36" s="187"/>
      <c r="V36" s="185"/>
      <c r="W36" s="186"/>
      <c r="X36" s="187"/>
      <c r="Y36" s="185"/>
      <c r="Z36" s="186"/>
      <c r="AA36" s="187"/>
      <c r="AB36" s="185"/>
      <c r="AC36" s="186"/>
      <c r="AD36" s="187"/>
      <c r="AE36" s="186"/>
      <c r="AF36" s="186"/>
      <c r="AG36" s="186"/>
      <c r="AH36" s="185"/>
      <c r="AI36" s="186"/>
      <c r="AJ36" s="187"/>
      <c r="AK36" s="186"/>
      <c r="AL36" s="186"/>
      <c r="AM36" s="186"/>
      <c r="AN36" s="185"/>
      <c r="AO36" s="186"/>
      <c r="AP36" s="187"/>
      <c r="AQ36" s="186"/>
      <c r="AR36" s="186"/>
      <c r="AS36" s="186"/>
      <c r="AT36" s="185"/>
      <c r="AU36" s="186"/>
      <c r="AV36" s="187"/>
      <c r="AW36" s="186"/>
      <c r="AX36" s="186"/>
      <c r="AY36" s="186"/>
      <c r="AZ36" s="185"/>
      <c r="BA36" s="186"/>
      <c r="BB36" s="187"/>
      <c r="BC36" s="186"/>
      <c r="BD36" s="188"/>
      <c r="BE36" s="186"/>
      <c r="BF36" s="189"/>
      <c r="BG36" s="190"/>
      <c r="BH36" s="191"/>
      <c r="BI36" s="189"/>
      <c r="BJ36" s="190"/>
      <c r="BK36" s="191"/>
      <c r="BL36" s="189"/>
      <c r="BM36" s="190"/>
      <c r="BN36" s="190"/>
      <c r="BO36" s="186"/>
      <c r="BP36" s="188"/>
      <c r="BQ36" s="186"/>
      <c r="BR36" s="189"/>
      <c r="BS36" s="190"/>
      <c r="BT36" s="191"/>
      <c r="BU36" s="189"/>
      <c r="BV36" s="190"/>
      <c r="BW36" s="191"/>
      <c r="BX36" s="189"/>
      <c r="BY36" s="190"/>
      <c r="BZ36" s="190"/>
      <c r="CA36" s="185"/>
      <c r="CB36" s="188"/>
      <c r="CC36" s="186"/>
      <c r="CD36" s="189"/>
      <c r="CE36" s="190"/>
      <c r="CF36" s="191"/>
      <c r="CG36" s="189"/>
      <c r="CH36" s="190"/>
      <c r="CI36" s="191"/>
      <c r="CJ36" s="189"/>
      <c r="CK36" s="190"/>
      <c r="CL36" s="190"/>
      <c r="CM36" s="186"/>
      <c r="CN36" s="188"/>
      <c r="CO36" s="186"/>
      <c r="CP36" s="189"/>
      <c r="CQ36" s="190"/>
      <c r="CR36" s="191"/>
      <c r="CS36" s="189"/>
      <c r="CT36" s="190"/>
      <c r="CU36" s="191"/>
      <c r="CV36" s="189"/>
      <c r="CW36" s="190"/>
      <c r="CX36" s="190"/>
      <c r="CY36" s="16"/>
    </row>
    <row r="37" spans="1:103" ht="15" customHeight="1" x14ac:dyDescent="0.2">
      <c r="A37" s="480" t="s">
        <v>304</v>
      </c>
      <c r="B37" s="480"/>
      <c r="C37" s="481"/>
      <c r="D37" s="479" t="s">
        <v>305</v>
      </c>
      <c r="E37" s="480"/>
      <c r="F37" s="481"/>
      <c r="G37" s="479" t="s">
        <v>306</v>
      </c>
      <c r="H37" s="480"/>
      <c r="I37" s="481"/>
      <c r="J37" s="479" t="s">
        <v>307</v>
      </c>
      <c r="K37" s="480"/>
      <c r="L37" s="481"/>
      <c r="M37" s="479" t="s">
        <v>308</v>
      </c>
      <c r="N37" s="480"/>
      <c r="O37" s="481"/>
      <c r="P37" s="479" t="s">
        <v>309</v>
      </c>
      <c r="Q37" s="480"/>
      <c r="R37" s="481"/>
      <c r="S37" s="479" t="s">
        <v>310</v>
      </c>
      <c r="T37" s="480"/>
      <c r="U37" s="481"/>
      <c r="V37" s="479" t="s">
        <v>311</v>
      </c>
      <c r="W37" s="480"/>
      <c r="X37" s="481"/>
      <c r="Y37" s="479" t="s">
        <v>312</v>
      </c>
      <c r="Z37" s="480"/>
      <c r="AA37" s="481"/>
      <c r="AB37" s="479" t="s">
        <v>313</v>
      </c>
      <c r="AC37" s="480"/>
      <c r="AD37" s="481"/>
      <c r="AE37" s="479" t="s">
        <v>314</v>
      </c>
      <c r="AF37" s="480"/>
      <c r="AG37" s="481"/>
      <c r="AH37" s="479" t="s">
        <v>315</v>
      </c>
      <c r="AI37" s="480"/>
      <c r="AJ37" s="481"/>
      <c r="AK37" s="480" t="s">
        <v>316</v>
      </c>
      <c r="AL37" s="480"/>
      <c r="AM37" s="481"/>
      <c r="AN37" s="480" t="s">
        <v>317</v>
      </c>
      <c r="AO37" s="480"/>
      <c r="AP37" s="481"/>
      <c r="AQ37" s="480" t="s">
        <v>318</v>
      </c>
      <c r="AR37" s="480"/>
      <c r="AS37" s="481"/>
      <c r="AT37" s="480" t="s">
        <v>319</v>
      </c>
      <c r="AU37" s="480"/>
      <c r="AV37" s="481"/>
      <c r="AW37" s="479" t="s">
        <v>320</v>
      </c>
      <c r="AX37" s="480"/>
      <c r="AY37" s="481"/>
      <c r="AZ37" s="479" t="s">
        <v>321</v>
      </c>
      <c r="BA37" s="480"/>
      <c r="BB37" s="481"/>
      <c r="BC37" s="479" t="s">
        <v>322</v>
      </c>
      <c r="BD37" s="480"/>
      <c r="BE37" s="481"/>
      <c r="BF37" s="479" t="s">
        <v>323</v>
      </c>
      <c r="BG37" s="480"/>
      <c r="BH37" s="481"/>
      <c r="BI37" s="479" t="s">
        <v>324</v>
      </c>
      <c r="BJ37" s="480"/>
      <c r="BK37" s="481"/>
      <c r="BL37" s="479" t="s">
        <v>325</v>
      </c>
      <c r="BM37" s="480"/>
      <c r="BN37" s="481"/>
      <c r="BO37" s="479" t="s">
        <v>326</v>
      </c>
      <c r="BP37" s="480"/>
      <c r="BQ37" s="481"/>
      <c r="BR37" s="479" t="s">
        <v>327</v>
      </c>
      <c r="BS37" s="480"/>
      <c r="BT37" s="481"/>
      <c r="BU37" s="479" t="s">
        <v>328</v>
      </c>
      <c r="BV37" s="480"/>
      <c r="BW37" s="481"/>
      <c r="BX37" s="479" t="s">
        <v>329</v>
      </c>
      <c r="BY37" s="480"/>
      <c r="BZ37" s="481"/>
      <c r="CA37" s="479" t="s">
        <v>330</v>
      </c>
      <c r="CB37" s="480"/>
      <c r="CC37" s="481"/>
      <c r="CD37" s="479" t="s">
        <v>331</v>
      </c>
      <c r="CE37" s="480"/>
      <c r="CF37" s="481"/>
    </row>
    <row r="38" spans="1:103" x14ac:dyDescent="0.2">
      <c r="A38" s="483"/>
      <c r="B38" s="483"/>
      <c r="C38" s="484"/>
      <c r="D38" s="482"/>
      <c r="E38" s="483"/>
      <c r="F38" s="484"/>
      <c r="G38" s="482"/>
      <c r="H38" s="483"/>
      <c r="I38" s="484"/>
      <c r="J38" s="482"/>
      <c r="K38" s="483"/>
      <c r="L38" s="484"/>
      <c r="M38" s="482"/>
      <c r="N38" s="483"/>
      <c r="O38" s="484"/>
      <c r="P38" s="482"/>
      <c r="Q38" s="483"/>
      <c r="R38" s="484"/>
      <c r="S38" s="482"/>
      <c r="T38" s="483"/>
      <c r="U38" s="484"/>
      <c r="V38" s="482"/>
      <c r="W38" s="483"/>
      <c r="X38" s="484"/>
      <c r="Y38" s="482"/>
      <c r="Z38" s="483"/>
      <c r="AA38" s="484"/>
      <c r="AB38" s="482"/>
      <c r="AC38" s="483"/>
      <c r="AD38" s="484"/>
      <c r="AE38" s="482"/>
      <c r="AF38" s="483"/>
      <c r="AG38" s="484"/>
      <c r="AH38" s="482"/>
      <c r="AI38" s="483"/>
      <c r="AJ38" s="484"/>
      <c r="AK38" s="483"/>
      <c r="AL38" s="483"/>
      <c r="AM38" s="484"/>
      <c r="AN38" s="483"/>
      <c r="AO38" s="483"/>
      <c r="AP38" s="484"/>
      <c r="AQ38" s="483"/>
      <c r="AR38" s="483"/>
      <c r="AS38" s="484"/>
      <c r="AT38" s="483"/>
      <c r="AU38" s="483"/>
      <c r="AV38" s="484"/>
      <c r="AW38" s="482"/>
      <c r="AX38" s="483"/>
      <c r="AY38" s="484"/>
      <c r="AZ38" s="482"/>
      <c r="BA38" s="483"/>
      <c r="BB38" s="484"/>
      <c r="BC38" s="482"/>
      <c r="BD38" s="483"/>
      <c r="BE38" s="484"/>
      <c r="BF38" s="482"/>
      <c r="BG38" s="483"/>
      <c r="BH38" s="484"/>
      <c r="BI38" s="482"/>
      <c r="BJ38" s="483"/>
      <c r="BK38" s="484"/>
      <c r="BL38" s="482"/>
      <c r="BM38" s="483"/>
      <c r="BN38" s="484"/>
      <c r="BO38" s="482"/>
      <c r="BP38" s="483"/>
      <c r="BQ38" s="484"/>
      <c r="BR38" s="482"/>
      <c r="BS38" s="483"/>
      <c r="BT38" s="484"/>
      <c r="BU38" s="482"/>
      <c r="BV38" s="483"/>
      <c r="BW38" s="484"/>
      <c r="BX38" s="482"/>
      <c r="BY38" s="483"/>
      <c r="BZ38" s="484"/>
      <c r="CA38" s="482"/>
      <c r="CB38" s="483"/>
      <c r="CC38" s="484"/>
      <c r="CD38" s="482"/>
      <c r="CE38" s="483"/>
      <c r="CF38" s="484"/>
    </row>
    <row r="39" spans="1:103" x14ac:dyDescent="0.2">
      <c r="A39" s="177"/>
      <c r="B39" s="178"/>
      <c r="C39" s="179"/>
      <c r="D39" s="178"/>
      <c r="E39" s="178"/>
      <c r="F39" s="178"/>
      <c r="G39" s="177"/>
      <c r="H39" s="178"/>
      <c r="I39" s="179"/>
      <c r="J39" s="177"/>
      <c r="K39" s="178"/>
      <c r="L39" s="179"/>
      <c r="M39" s="177"/>
      <c r="N39" s="178"/>
      <c r="O39" s="179"/>
      <c r="P39" s="177"/>
      <c r="Q39" s="178"/>
      <c r="R39" s="179"/>
      <c r="S39" s="181"/>
      <c r="T39" s="181"/>
      <c r="U39" s="181"/>
      <c r="V39" s="180"/>
      <c r="W39" s="181"/>
      <c r="X39" s="181"/>
      <c r="Y39" s="180"/>
      <c r="Z39" s="181"/>
      <c r="AA39" s="182"/>
      <c r="AB39" s="177"/>
      <c r="AC39" s="178"/>
      <c r="AD39" s="179"/>
      <c r="AE39" s="177"/>
      <c r="AF39" s="178"/>
      <c r="AG39" s="179"/>
      <c r="AH39" s="177"/>
      <c r="AI39" s="178"/>
      <c r="AJ39" s="179"/>
      <c r="AK39" s="177"/>
      <c r="AL39" s="178"/>
      <c r="AM39" s="179"/>
      <c r="AN39" s="177"/>
      <c r="AO39" s="178"/>
      <c r="AP39" s="179"/>
      <c r="AQ39" s="177"/>
      <c r="AR39" s="178"/>
      <c r="AS39" s="179"/>
      <c r="AT39" s="177"/>
      <c r="AU39" s="178"/>
      <c r="AV39" s="179"/>
      <c r="AW39" s="177"/>
      <c r="AX39" s="178"/>
      <c r="AY39" s="179"/>
      <c r="AZ39" s="177"/>
      <c r="BA39" s="178"/>
      <c r="BB39" s="179"/>
      <c r="BC39" s="177"/>
      <c r="BD39" s="178"/>
      <c r="BE39" s="179"/>
      <c r="BF39" s="177"/>
      <c r="BG39" s="178"/>
      <c r="BH39" s="179"/>
      <c r="BI39" s="177"/>
      <c r="BJ39" s="178"/>
      <c r="BK39" s="179"/>
      <c r="BL39" s="177"/>
      <c r="BM39" s="178"/>
      <c r="BN39" s="179"/>
      <c r="BO39" s="177"/>
      <c r="BP39" s="178"/>
      <c r="BQ39" s="179"/>
      <c r="BR39" s="177"/>
      <c r="BS39" s="178"/>
      <c r="BT39" s="179"/>
      <c r="BU39" s="177"/>
      <c r="BV39" s="178"/>
      <c r="BW39" s="179"/>
      <c r="BX39" s="177"/>
      <c r="BY39" s="178"/>
      <c r="BZ39" s="179"/>
      <c r="CA39" s="177"/>
      <c r="CB39" s="178"/>
      <c r="CC39" s="179"/>
      <c r="CD39" s="177"/>
      <c r="CE39" s="178"/>
      <c r="CF39" s="179"/>
    </row>
    <row r="40" spans="1:103" x14ac:dyDescent="0.2">
      <c r="A40" s="180" t="str">
        <f>A$37</f>
        <v>CC1</v>
      </c>
      <c r="B40" s="181">
        <v>0</v>
      </c>
      <c r="C40" s="184">
        <v>14273.84</v>
      </c>
      <c r="D40" s="180" t="str">
        <f>D$37</f>
        <v>CC2</v>
      </c>
      <c r="E40" s="181">
        <v>0</v>
      </c>
      <c r="F40" s="184">
        <v>15998.84</v>
      </c>
      <c r="G40" s="180" t="str">
        <f>G$37</f>
        <v>CC3</v>
      </c>
      <c r="H40" s="181">
        <v>0</v>
      </c>
      <c r="I40" s="184">
        <v>17588.84</v>
      </c>
      <c r="J40" s="180" t="str">
        <f>J$37</f>
        <v>CC4</v>
      </c>
      <c r="K40" s="181">
        <v>0</v>
      </c>
      <c r="L40" s="184">
        <v>19178.84</v>
      </c>
      <c r="M40" s="180" t="str">
        <f>M$37</f>
        <v>C1A</v>
      </c>
      <c r="N40" s="181">
        <v>0</v>
      </c>
      <c r="O40" s="184">
        <v>14558.01</v>
      </c>
      <c r="P40" s="180" t="str">
        <f>P$37</f>
        <v>C2A</v>
      </c>
      <c r="Q40" s="181">
        <v>0</v>
      </c>
      <c r="R40" s="184">
        <v>16155.21</v>
      </c>
      <c r="S40" s="180" t="str">
        <f>S$37</f>
        <v>C3A</v>
      </c>
      <c r="T40" s="181">
        <v>0</v>
      </c>
      <c r="U40" s="184">
        <v>17745.21</v>
      </c>
      <c r="V40" s="180" t="str">
        <f>V$37</f>
        <v>C4A</v>
      </c>
      <c r="W40" s="181">
        <v>0</v>
      </c>
      <c r="X40" s="184">
        <v>19335.21</v>
      </c>
      <c r="Y40" s="180" t="str">
        <f>Y$37</f>
        <v>C1D</v>
      </c>
      <c r="Z40" s="181">
        <v>0</v>
      </c>
      <c r="AA40" s="184">
        <v>15692.86</v>
      </c>
      <c r="AB40" s="180" t="str">
        <f>AB$37</f>
        <v>C2D</v>
      </c>
      <c r="AC40" s="181">
        <v>0</v>
      </c>
      <c r="AD40" s="184">
        <v>16071.05</v>
      </c>
      <c r="AE40" s="180" t="str">
        <f>AE$37</f>
        <v>C3D</v>
      </c>
      <c r="AF40" s="181">
        <v>0</v>
      </c>
      <c r="AG40" s="184">
        <v>17990.45</v>
      </c>
      <c r="AH40" s="180" t="str">
        <f>AH$37</f>
        <v>C4D</v>
      </c>
      <c r="AI40" s="181">
        <v>0</v>
      </c>
      <c r="AJ40" s="184">
        <v>19230.759999999998</v>
      </c>
      <c r="AK40" s="180" t="str">
        <f>AK$37</f>
        <v>DD1</v>
      </c>
      <c r="AL40" s="181">
        <v>0</v>
      </c>
      <c r="AM40" s="184">
        <v>12698.35</v>
      </c>
      <c r="AN40" s="180" t="str">
        <f>AN$37</f>
        <v>DD2</v>
      </c>
      <c r="AO40" s="181">
        <v>0</v>
      </c>
      <c r="AP40" s="184">
        <v>13608.35</v>
      </c>
      <c r="AQ40" s="180" t="str">
        <f>AQ$37</f>
        <v>DD3</v>
      </c>
      <c r="AR40" s="181">
        <v>0</v>
      </c>
      <c r="AS40" s="184">
        <v>14491.64</v>
      </c>
      <c r="AT40" s="180" t="str">
        <f>AT$37</f>
        <v>DD4</v>
      </c>
      <c r="AU40" s="181">
        <v>0</v>
      </c>
      <c r="AV40" s="184">
        <v>15491.64</v>
      </c>
      <c r="AW40" s="180" t="str">
        <f>AW$37</f>
        <v>D1A</v>
      </c>
      <c r="AX40" s="181">
        <v>0</v>
      </c>
      <c r="AY40" s="184">
        <v>12909.24</v>
      </c>
      <c r="AZ40" s="180" t="str">
        <f>AZ$37</f>
        <v>D2A</v>
      </c>
      <c r="BA40" s="181">
        <v>0</v>
      </c>
      <c r="BB40" s="184">
        <v>13923.65</v>
      </c>
      <c r="BC40" s="180" t="str">
        <f>BC$37</f>
        <v>D3A</v>
      </c>
      <c r="BD40" s="181">
        <v>0</v>
      </c>
      <c r="BE40" s="184">
        <v>14650.89</v>
      </c>
      <c r="BF40" s="180" t="str">
        <f>BF$37</f>
        <v>D4A</v>
      </c>
      <c r="BG40" s="181">
        <v>0</v>
      </c>
      <c r="BH40" s="184">
        <v>15650.89</v>
      </c>
      <c r="BI40" s="180" t="str">
        <f>BI$37</f>
        <v>D1B</v>
      </c>
      <c r="BJ40" s="181">
        <v>0</v>
      </c>
      <c r="BK40" s="184">
        <v>13190.84</v>
      </c>
      <c r="BL40" s="180" t="str">
        <f>BL$37</f>
        <v>D2B</v>
      </c>
      <c r="BM40" s="181">
        <v>0</v>
      </c>
      <c r="BN40" s="184">
        <v>14023.03</v>
      </c>
      <c r="BO40" s="180" t="str">
        <f>BO$37</f>
        <v>D3B</v>
      </c>
      <c r="BP40" s="181">
        <v>0</v>
      </c>
      <c r="BQ40" s="184">
        <v>15255.43</v>
      </c>
      <c r="BR40" s="180" t="str">
        <f>BR$37</f>
        <v>D4B</v>
      </c>
      <c r="BS40" s="181">
        <v>0</v>
      </c>
      <c r="BT40" s="184">
        <v>18470.68</v>
      </c>
      <c r="BU40" s="180" t="str">
        <f>BU$37</f>
        <v>D1C</v>
      </c>
      <c r="BV40" s="181">
        <v>0</v>
      </c>
      <c r="BW40" s="184">
        <v>13190.84</v>
      </c>
      <c r="BX40" s="180" t="str">
        <f>BX$37</f>
        <v>D2C</v>
      </c>
      <c r="BY40" s="181">
        <v>0</v>
      </c>
      <c r="BZ40" s="184">
        <v>13759.03</v>
      </c>
      <c r="CA40" s="180" t="str">
        <f>CA$37</f>
        <v>D3C</v>
      </c>
      <c r="CB40" s="181">
        <v>0</v>
      </c>
      <c r="CC40" s="184">
        <v>15255.43</v>
      </c>
      <c r="CD40" s="180" t="str">
        <f>CD$37</f>
        <v>D4C</v>
      </c>
      <c r="CE40" s="181">
        <v>0</v>
      </c>
      <c r="CF40" s="184">
        <v>18470.68</v>
      </c>
    </row>
    <row r="41" spans="1:103" x14ac:dyDescent="0.2">
      <c r="A41" s="180" t="str">
        <f t="shared" ref="A41:A70" si="43">A$37</f>
        <v>CC1</v>
      </c>
      <c r="B41" s="181">
        <v>1</v>
      </c>
      <c r="C41" s="184">
        <v>14541.01</v>
      </c>
      <c r="D41" s="180" t="str">
        <f t="shared" ref="D41:D70" si="44">D$37</f>
        <v>CC2</v>
      </c>
      <c r="E41" s="181">
        <v>1</v>
      </c>
      <c r="F41" s="184">
        <v>16235.86</v>
      </c>
      <c r="G41" s="180" t="str">
        <f t="shared" ref="G41:G70" si="45">G$37</f>
        <v>CC3</v>
      </c>
      <c r="H41" s="181">
        <v>1</v>
      </c>
      <c r="I41" s="184">
        <v>17825.86</v>
      </c>
      <c r="J41" s="180" t="str">
        <f t="shared" ref="J41:J70" si="46">J$37</f>
        <v>CC4</v>
      </c>
      <c r="K41" s="181">
        <v>1</v>
      </c>
      <c r="L41" s="184">
        <v>19415.86</v>
      </c>
      <c r="M41" s="180" t="str">
        <f t="shared" ref="M41:M70" si="47">M$37</f>
        <v>C1A</v>
      </c>
      <c r="N41" s="181">
        <v>1</v>
      </c>
      <c r="O41" s="184">
        <v>14825.32</v>
      </c>
      <c r="P41" s="180" t="str">
        <f t="shared" ref="P41:P70" si="48">P$37</f>
        <v>C2A</v>
      </c>
      <c r="Q41" s="181">
        <v>1</v>
      </c>
      <c r="R41" s="184">
        <v>16392.23</v>
      </c>
      <c r="S41" s="180" t="str">
        <f t="shared" ref="S41:S70" si="49">S$37</f>
        <v>C3A</v>
      </c>
      <c r="T41" s="181">
        <v>1</v>
      </c>
      <c r="U41" s="184">
        <v>17982.23</v>
      </c>
      <c r="V41" s="180" t="str">
        <f t="shared" ref="V41:V70" si="50">V$37</f>
        <v>C4A</v>
      </c>
      <c r="W41" s="181">
        <v>1</v>
      </c>
      <c r="X41" s="184">
        <v>19572.23</v>
      </c>
      <c r="Y41" s="180" t="str">
        <f t="shared" ref="Y41:Y70" si="51">Y$37</f>
        <v>C1D</v>
      </c>
      <c r="Z41" s="181">
        <v>1</v>
      </c>
      <c r="AA41" s="184">
        <v>16004.95</v>
      </c>
      <c r="AB41" s="180" t="str">
        <f t="shared" ref="AB41:AB70" si="52">AB$37</f>
        <v>C2D</v>
      </c>
      <c r="AC41" s="181">
        <v>1</v>
      </c>
      <c r="AD41" s="184">
        <v>16308.07</v>
      </c>
      <c r="AE41" s="180" t="str">
        <f t="shared" ref="AE41:AE70" si="53">AE$37</f>
        <v>C3D</v>
      </c>
      <c r="AF41" s="181">
        <v>1</v>
      </c>
      <c r="AG41" s="184">
        <v>18257.759999999998</v>
      </c>
      <c r="AH41" s="180" t="str">
        <f t="shared" ref="AH41:AH70" si="54">AH$37</f>
        <v>C4D</v>
      </c>
      <c r="AI41" s="181">
        <v>1</v>
      </c>
      <c r="AJ41" s="184">
        <v>19467.78</v>
      </c>
      <c r="AK41" s="180" t="str">
        <f t="shared" ref="AK41:AK70" si="55">AK$37</f>
        <v>DD1</v>
      </c>
      <c r="AL41" s="181">
        <v>1</v>
      </c>
      <c r="AM41" s="184">
        <v>12771.5</v>
      </c>
      <c r="AN41" s="180" t="str">
        <f t="shared" ref="AN41:AN70" si="56">AN$37</f>
        <v>DD2</v>
      </c>
      <c r="AO41" s="181">
        <v>1</v>
      </c>
      <c r="AP41" s="184">
        <v>13681.5</v>
      </c>
      <c r="AQ41" s="180" t="str">
        <f t="shared" ref="AQ41:AQ70" si="57">AQ$37</f>
        <v>DD3</v>
      </c>
      <c r="AR41" s="181">
        <v>1</v>
      </c>
      <c r="AS41" s="184">
        <v>14602.64</v>
      </c>
      <c r="AT41" s="180" t="str">
        <f t="shared" ref="AT41:AT70" si="58">AT$37</f>
        <v>DD4</v>
      </c>
      <c r="AU41" s="181">
        <v>1</v>
      </c>
      <c r="AV41" s="184">
        <v>15602.64</v>
      </c>
      <c r="AW41" s="180" t="str">
        <f t="shared" ref="AW41:AW70" si="59">AW$37</f>
        <v>D1A</v>
      </c>
      <c r="AX41" s="181">
        <v>1</v>
      </c>
      <c r="AY41" s="184">
        <v>13041.19</v>
      </c>
      <c r="AZ41" s="180" t="str">
        <f t="shared" ref="AZ41:AZ70" si="60">AZ$37</f>
        <v>D2A</v>
      </c>
      <c r="BA41" s="181">
        <v>1</v>
      </c>
      <c r="BB41" s="184">
        <v>14055.6</v>
      </c>
      <c r="BC41" s="180" t="str">
        <f t="shared" ref="BC41:BC70" si="61">BC$37</f>
        <v>D3A</v>
      </c>
      <c r="BD41" s="181">
        <v>1</v>
      </c>
      <c r="BE41" s="184">
        <v>14826.05</v>
      </c>
      <c r="BF41" s="180" t="str">
        <f t="shared" ref="BF41:BF70" si="62">BF$37</f>
        <v>D4A</v>
      </c>
      <c r="BG41" s="181">
        <v>1</v>
      </c>
      <c r="BH41" s="184">
        <v>15826.05</v>
      </c>
      <c r="BI41" s="180" t="str">
        <f t="shared" ref="BI41:BI70" si="63">BI$37</f>
        <v>D1B</v>
      </c>
      <c r="BJ41" s="181">
        <v>1</v>
      </c>
      <c r="BK41" s="184">
        <v>13330.93</v>
      </c>
      <c r="BL41" s="180" t="str">
        <f t="shared" ref="BL41:BL70" si="64">BL$37</f>
        <v>D2B</v>
      </c>
      <c r="BM41" s="181">
        <v>1</v>
      </c>
      <c r="BN41" s="184">
        <v>14217.98</v>
      </c>
      <c r="BO41" s="180" t="str">
        <f t="shared" ref="BO41:BO70" si="65">BO$37</f>
        <v>D3B</v>
      </c>
      <c r="BP41" s="181">
        <v>1</v>
      </c>
      <c r="BQ41" s="184">
        <v>15474.09</v>
      </c>
      <c r="BR41" s="180" t="str">
        <f t="shared" ref="BR41:BR70" si="66">BR$37</f>
        <v>D4B</v>
      </c>
      <c r="BS41" s="181">
        <v>1</v>
      </c>
      <c r="BT41" s="184">
        <v>18689.34</v>
      </c>
      <c r="BU41" s="180" t="str">
        <f t="shared" ref="BU41:BU70" si="67">BU$37</f>
        <v>D1C</v>
      </c>
      <c r="BV41" s="181">
        <v>1</v>
      </c>
      <c r="BW41" s="184">
        <v>13330.93</v>
      </c>
      <c r="BX41" s="180" t="str">
        <f t="shared" ref="BX41:BX70" si="68">BX$37</f>
        <v>D2C</v>
      </c>
      <c r="BY41" s="181">
        <v>1</v>
      </c>
      <c r="BZ41" s="184">
        <v>13934.19</v>
      </c>
      <c r="CA41" s="180" t="str">
        <f t="shared" ref="CA41:CA70" si="69">CA$37</f>
        <v>D3C</v>
      </c>
      <c r="CB41" s="181">
        <v>1</v>
      </c>
      <c r="CC41" s="184">
        <v>15474.09</v>
      </c>
      <c r="CD41" s="180" t="str">
        <f t="shared" ref="CD41:CD70" si="70">CD$37</f>
        <v>D4C</v>
      </c>
      <c r="CE41" s="181">
        <v>1</v>
      </c>
      <c r="CF41" s="184">
        <v>18689.34</v>
      </c>
    </row>
    <row r="42" spans="1:103" x14ac:dyDescent="0.2">
      <c r="A42" s="180" t="str">
        <f t="shared" si="43"/>
        <v>CC1</v>
      </c>
      <c r="B42" s="181">
        <v>2</v>
      </c>
      <c r="C42" s="184">
        <v>14808.32</v>
      </c>
      <c r="D42" s="180" t="str">
        <f t="shared" si="44"/>
        <v>CC2</v>
      </c>
      <c r="E42" s="181">
        <v>2</v>
      </c>
      <c r="F42" s="184">
        <v>16472.88</v>
      </c>
      <c r="G42" s="180" t="str">
        <f t="shared" si="45"/>
        <v>CC3</v>
      </c>
      <c r="H42" s="181">
        <v>2</v>
      </c>
      <c r="I42" s="184">
        <v>18062.88</v>
      </c>
      <c r="J42" s="180" t="str">
        <f t="shared" si="46"/>
        <v>CC4</v>
      </c>
      <c r="K42" s="181">
        <v>2</v>
      </c>
      <c r="L42" s="184">
        <v>19652.88</v>
      </c>
      <c r="M42" s="180" t="str">
        <f t="shared" si="47"/>
        <v>C1A</v>
      </c>
      <c r="N42" s="181">
        <v>2</v>
      </c>
      <c r="O42" s="184">
        <v>15092.63</v>
      </c>
      <c r="P42" s="180" t="str">
        <f t="shared" si="48"/>
        <v>C2A</v>
      </c>
      <c r="Q42" s="181">
        <v>2</v>
      </c>
      <c r="R42" s="184">
        <v>16629.25</v>
      </c>
      <c r="S42" s="180" t="str">
        <f t="shared" si="49"/>
        <v>C3A</v>
      </c>
      <c r="T42" s="181">
        <v>2</v>
      </c>
      <c r="U42" s="184">
        <v>18219.25</v>
      </c>
      <c r="V42" s="180" t="str">
        <f t="shared" si="50"/>
        <v>C4A</v>
      </c>
      <c r="W42" s="181">
        <v>2</v>
      </c>
      <c r="X42" s="184">
        <v>19809.25</v>
      </c>
      <c r="Y42" s="180" t="str">
        <f t="shared" si="51"/>
        <v>C1D</v>
      </c>
      <c r="Z42" s="181">
        <v>2</v>
      </c>
      <c r="AA42" s="184">
        <v>16317.04</v>
      </c>
      <c r="AB42" s="180" t="str">
        <f t="shared" si="52"/>
        <v>C2D</v>
      </c>
      <c r="AC42" s="181">
        <v>2</v>
      </c>
      <c r="AD42" s="184">
        <v>16545.09</v>
      </c>
      <c r="AE42" s="180" t="str">
        <f t="shared" si="53"/>
        <v>C3D</v>
      </c>
      <c r="AF42" s="181">
        <v>2</v>
      </c>
      <c r="AG42" s="184">
        <v>18525.07</v>
      </c>
      <c r="AH42" s="180" t="str">
        <f t="shared" si="54"/>
        <v>C4D</v>
      </c>
      <c r="AI42" s="181">
        <v>2</v>
      </c>
      <c r="AJ42" s="184">
        <v>19704.8</v>
      </c>
      <c r="AK42" s="180" t="str">
        <f t="shared" si="55"/>
        <v>DD1</v>
      </c>
      <c r="AL42" s="181">
        <v>2</v>
      </c>
      <c r="AM42" s="184">
        <v>12844.64</v>
      </c>
      <c r="AN42" s="180" t="str">
        <f t="shared" si="56"/>
        <v>DD2</v>
      </c>
      <c r="AO42" s="181">
        <v>2</v>
      </c>
      <c r="AP42" s="184">
        <v>13754.64</v>
      </c>
      <c r="AQ42" s="180" t="str">
        <f t="shared" si="57"/>
        <v>DD3</v>
      </c>
      <c r="AR42" s="181">
        <v>2</v>
      </c>
      <c r="AS42" s="184">
        <v>14713.44</v>
      </c>
      <c r="AT42" s="180" t="str">
        <f t="shared" si="58"/>
        <v>DD4</v>
      </c>
      <c r="AU42" s="181">
        <v>2</v>
      </c>
      <c r="AV42" s="184">
        <v>15713.44</v>
      </c>
      <c r="AW42" s="180" t="str">
        <f t="shared" si="59"/>
        <v>D1A</v>
      </c>
      <c r="AX42" s="181">
        <v>2</v>
      </c>
      <c r="AY42" s="184">
        <v>13172.69</v>
      </c>
      <c r="AZ42" s="180" t="str">
        <f t="shared" si="60"/>
        <v>D2A</v>
      </c>
      <c r="BA42" s="181">
        <v>2</v>
      </c>
      <c r="BB42" s="184">
        <v>14187.1</v>
      </c>
      <c r="BC42" s="180" t="str">
        <f t="shared" si="61"/>
        <v>D3A</v>
      </c>
      <c r="BD42" s="181">
        <v>2</v>
      </c>
      <c r="BE42" s="184">
        <v>15000.76</v>
      </c>
      <c r="BF42" s="180" t="str">
        <f t="shared" si="62"/>
        <v>D4A</v>
      </c>
      <c r="BG42" s="181">
        <v>2</v>
      </c>
      <c r="BH42" s="184">
        <v>16000.76</v>
      </c>
      <c r="BI42" s="180" t="str">
        <f t="shared" si="63"/>
        <v>D1B</v>
      </c>
      <c r="BJ42" s="181">
        <v>2</v>
      </c>
      <c r="BK42" s="184">
        <v>13471.02</v>
      </c>
      <c r="BL42" s="180" t="str">
        <f t="shared" si="64"/>
        <v>D2B</v>
      </c>
      <c r="BM42" s="181">
        <v>2</v>
      </c>
      <c r="BN42" s="184">
        <v>14436.64</v>
      </c>
      <c r="BO42" s="180" t="str">
        <f t="shared" si="65"/>
        <v>D3B</v>
      </c>
      <c r="BP42" s="181">
        <v>2</v>
      </c>
      <c r="BQ42" s="184">
        <v>15692.75</v>
      </c>
      <c r="BR42" s="180" t="str">
        <f t="shared" si="66"/>
        <v>D4B</v>
      </c>
      <c r="BS42" s="181">
        <v>2</v>
      </c>
      <c r="BT42" s="184">
        <v>18908</v>
      </c>
      <c r="BU42" s="180" t="str">
        <f t="shared" si="67"/>
        <v>D1C</v>
      </c>
      <c r="BV42" s="181">
        <v>2</v>
      </c>
      <c r="BW42" s="184">
        <v>13471.02</v>
      </c>
      <c r="BX42" s="180" t="str">
        <f t="shared" si="68"/>
        <v>D2C</v>
      </c>
      <c r="BY42" s="181">
        <v>2</v>
      </c>
      <c r="BZ42" s="184">
        <v>14108.9</v>
      </c>
      <c r="CA42" s="180" t="str">
        <f t="shared" si="69"/>
        <v>D3C</v>
      </c>
      <c r="CB42" s="181">
        <v>2</v>
      </c>
      <c r="CC42" s="184">
        <v>15692.75</v>
      </c>
      <c r="CD42" s="180" t="str">
        <f t="shared" si="70"/>
        <v>D4C</v>
      </c>
      <c r="CE42" s="181">
        <v>2</v>
      </c>
      <c r="CF42" s="184">
        <v>18908</v>
      </c>
    </row>
    <row r="43" spans="1:103" x14ac:dyDescent="0.2">
      <c r="A43" s="180" t="str">
        <f t="shared" si="43"/>
        <v>CC1</v>
      </c>
      <c r="B43" s="181">
        <v>3</v>
      </c>
      <c r="C43" s="184">
        <v>15075.63</v>
      </c>
      <c r="D43" s="180" t="str">
        <f t="shared" si="44"/>
        <v>CC2</v>
      </c>
      <c r="E43" s="181">
        <v>3</v>
      </c>
      <c r="F43" s="184">
        <v>16709.45</v>
      </c>
      <c r="G43" s="180" t="str">
        <f t="shared" si="45"/>
        <v>CC3</v>
      </c>
      <c r="H43" s="181">
        <v>3</v>
      </c>
      <c r="I43" s="184">
        <v>18299.45</v>
      </c>
      <c r="J43" s="180" t="str">
        <f t="shared" si="46"/>
        <v>CC4</v>
      </c>
      <c r="K43" s="181">
        <v>3</v>
      </c>
      <c r="L43" s="184">
        <v>19889.45</v>
      </c>
      <c r="M43" s="180" t="str">
        <f t="shared" si="47"/>
        <v>C1A</v>
      </c>
      <c r="N43" s="181">
        <v>3</v>
      </c>
      <c r="O43" s="184">
        <v>15359.94</v>
      </c>
      <c r="P43" s="180" t="str">
        <f t="shared" si="48"/>
        <v>C2A</v>
      </c>
      <c r="Q43" s="181">
        <v>3</v>
      </c>
      <c r="R43" s="184">
        <v>16865.82</v>
      </c>
      <c r="S43" s="180" t="str">
        <f t="shared" si="49"/>
        <v>C3A</v>
      </c>
      <c r="T43" s="181">
        <v>3</v>
      </c>
      <c r="U43" s="184">
        <v>18455.82</v>
      </c>
      <c r="V43" s="180" t="str">
        <f t="shared" si="50"/>
        <v>C4A</v>
      </c>
      <c r="W43" s="181">
        <v>3</v>
      </c>
      <c r="X43" s="184">
        <v>20045.82</v>
      </c>
      <c r="Y43" s="180" t="str">
        <f t="shared" si="51"/>
        <v>C1D</v>
      </c>
      <c r="Z43" s="181">
        <v>3</v>
      </c>
      <c r="AA43" s="184">
        <v>16629.13</v>
      </c>
      <c r="AB43" s="180" t="str">
        <f t="shared" si="52"/>
        <v>C2D</v>
      </c>
      <c r="AC43" s="181">
        <v>3</v>
      </c>
      <c r="AD43" s="184">
        <v>16781.66</v>
      </c>
      <c r="AE43" s="180" t="str">
        <f t="shared" si="53"/>
        <v>C3D</v>
      </c>
      <c r="AF43" s="181">
        <v>3</v>
      </c>
      <c r="AG43" s="184">
        <v>18792.38</v>
      </c>
      <c r="AH43" s="180" t="str">
        <f t="shared" si="54"/>
        <v>C4D</v>
      </c>
      <c r="AI43" s="181">
        <v>3</v>
      </c>
      <c r="AJ43" s="184">
        <v>19941.37</v>
      </c>
      <c r="AK43" s="180" t="str">
        <f t="shared" si="55"/>
        <v>DD1</v>
      </c>
      <c r="AL43" s="181">
        <v>3</v>
      </c>
      <c r="AM43" s="184">
        <v>12917.79</v>
      </c>
      <c r="AN43" s="180" t="str">
        <f t="shared" si="56"/>
        <v>DD2</v>
      </c>
      <c r="AO43" s="181">
        <v>3</v>
      </c>
      <c r="AP43" s="184">
        <v>13827.79</v>
      </c>
      <c r="AQ43" s="180" t="str">
        <f t="shared" si="57"/>
        <v>DD3</v>
      </c>
      <c r="AR43" s="181">
        <v>3</v>
      </c>
      <c r="AS43" s="184">
        <v>14824.34</v>
      </c>
      <c r="AT43" s="180" t="str">
        <f t="shared" si="58"/>
        <v>DD4</v>
      </c>
      <c r="AU43" s="181">
        <v>3</v>
      </c>
      <c r="AV43" s="184">
        <v>15824.34</v>
      </c>
      <c r="AW43" s="180" t="str">
        <f t="shared" si="59"/>
        <v>D1A</v>
      </c>
      <c r="AX43" s="181">
        <v>3</v>
      </c>
      <c r="AY43" s="184">
        <v>13304.64</v>
      </c>
      <c r="AZ43" s="180" t="str">
        <f t="shared" si="60"/>
        <v>D2A</v>
      </c>
      <c r="BA43" s="181">
        <v>3</v>
      </c>
      <c r="BB43" s="184">
        <v>14319.05</v>
      </c>
      <c r="BC43" s="180" t="str">
        <f t="shared" si="61"/>
        <v>D3A</v>
      </c>
      <c r="BD43" s="181">
        <v>3</v>
      </c>
      <c r="BE43" s="184">
        <v>15175.92</v>
      </c>
      <c r="BF43" s="180" t="str">
        <f t="shared" si="62"/>
        <v>D4A</v>
      </c>
      <c r="BG43" s="181">
        <v>3</v>
      </c>
      <c r="BH43" s="184">
        <v>16175.92</v>
      </c>
      <c r="BI43" s="180" t="str">
        <f t="shared" si="63"/>
        <v>D1B</v>
      </c>
      <c r="BJ43" s="181">
        <v>3</v>
      </c>
      <c r="BK43" s="184">
        <v>13611.11</v>
      </c>
      <c r="BL43" s="180" t="str">
        <f t="shared" si="64"/>
        <v>D2B</v>
      </c>
      <c r="BM43" s="181">
        <v>3</v>
      </c>
      <c r="BN43" s="184">
        <v>14655.3</v>
      </c>
      <c r="BO43" s="180" t="str">
        <f t="shared" si="65"/>
        <v>D3B</v>
      </c>
      <c r="BP43" s="181">
        <v>3</v>
      </c>
      <c r="BQ43" s="184">
        <v>15911.41</v>
      </c>
      <c r="BR43" s="180" t="str">
        <f t="shared" si="66"/>
        <v>D4B</v>
      </c>
      <c r="BS43" s="181">
        <v>3</v>
      </c>
      <c r="BT43" s="184">
        <v>19126.66</v>
      </c>
      <c r="BU43" s="180" t="str">
        <f t="shared" si="67"/>
        <v>D1C</v>
      </c>
      <c r="BV43" s="181">
        <v>3</v>
      </c>
      <c r="BW43" s="184">
        <v>13611.11</v>
      </c>
      <c r="BX43" s="180" t="str">
        <f t="shared" si="68"/>
        <v>D2C</v>
      </c>
      <c r="BY43" s="181">
        <v>3</v>
      </c>
      <c r="BZ43" s="184">
        <v>14284.07</v>
      </c>
      <c r="CA43" s="180" t="str">
        <f t="shared" si="69"/>
        <v>D3C</v>
      </c>
      <c r="CB43" s="181">
        <v>3</v>
      </c>
      <c r="CC43" s="184">
        <v>15911.41</v>
      </c>
      <c r="CD43" s="180" t="str">
        <f t="shared" si="70"/>
        <v>D4C</v>
      </c>
      <c r="CE43" s="181">
        <v>3</v>
      </c>
      <c r="CF43" s="184">
        <v>19126.66</v>
      </c>
    </row>
    <row r="44" spans="1:103" x14ac:dyDescent="0.2">
      <c r="A44" s="180" t="str">
        <f t="shared" si="43"/>
        <v>CC1</v>
      </c>
      <c r="B44" s="181">
        <v>4</v>
      </c>
      <c r="C44" s="184">
        <v>15075.63</v>
      </c>
      <c r="D44" s="180" t="str">
        <f t="shared" si="44"/>
        <v>CC2</v>
      </c>
      <c r="E44" s="181">
        <v>4</v>
      </c>
      <c r="F44" s="184">
        <v>16799.45</v>
      </c>
      <c r="G44" s="180" t="str">
        <f t="shared" si="45"/>
        <v>CC3</v>
      </c>
      <c r="H44" s="181">
        <v>4</v>
      </c>
      <c r="I44" s="184">
        <v>18389.45</v>
      </c>
      <c r="J44" s="180" t="str">
        <f t="shared" si="46"/>
        <v>CC4</v>
      </c>
      <c r="K44" s="181">
        <v>4</v>
      </c>
      <c r="L44" s="184">
        <v>19979.45</v>
      </c>
      <c r="M44" s="180" t="str">
        <f t="shared" si="47"/>
        <v>C1A</v>
      </c>
      <c r="N44" s="181">
        <v>4</v>
      </c>
      <c r="O44" s="184">
        <v>15359.94</v>
      </c>
      <c r="P44" s="180" t="str">
        <f t="shared" si="48"/>
        <v>C2A</v>
      </c>
      <c r="Q44" s="181">
        <v>4</v>
      </c>
      <c r="R44" s="184">
        <v>16955.82</v>
      </c>
      <c r="S44" s="180" t="str">
        <f t="shared" si="49"/>
        <v>C3A</v>
      </c>
      <c r="T44" s="181">
        <v>4</v>
      </c>
      <c r="U44" s="184">
        <v>18545.82</v>
      </c>
      <c r="V44" s="180" t="str">
        <f t="shared" si="50"/>
        <v>C4A</v>
      </c>
      <c r="W44" s="181">
        <v>4</v>
      </c>
      <c r="X44" s="184">
        <v>20135.82</v>
      </c>
      <c r="Y44" s="180" t="str">
        <f t="shared" si="51"/>
        <v>C1D</v>
      </c>
      <c r="Z44" s="181">
        <v>4</v>
      </c>
      <c r="AA44" s="184">
        <v>16629.13</v>
      </c>
      <c r="AB44" s="180" t="str">
        <f t="shared" si="52"/>
        <v>C2D</v>
      </c>
      <c r="AC44" s="181">
        <v>4</v>
      </c>
      <c r="AD44" s="184">
        <v>16871.66</v>
      </c>
      <c r="AE44" s="180" t="str">
        <f t="shared" si="53"/>
        <v>C3D</v>
      </c>
      <c r="AF44" s="181">
        <v>4</v>
      </c>
      <c r="AG44" s="184">
        <v>18792.38</v>
      </c>
      <c r="AH44" s="180" t="str">
        <f t="shared" si="54"/>
        <v>C4D</v>
      </c>
      <c r="AI44" s="181">
        <v>4</v>
      </c>
      <c r="AJ44" s="184">
        <v>20031.37</v>
      </c>
      <c r="AK44" s="180" t="str">
        <f t="shared" si="55"/>
        <v>DD1</v>
      </c>
      <c r="AL44" s="181">
        <v>4</v>
      </c>
      <c r="AM44" s="184">
        <v>12929.94</v>
      </c>
      <c r="AN44" s="180" t="str">
        <f t="shared" si="56"/>
        <v>DD2</v>
      </c>
      <c r="AO44" s="181">
        <v>4</v>
      </c>
      <c r="AP44" s="184">
        <v>13839.94</v>
      </c>
      <c r="AQ44" s="180" t="str">
        <f t="shared" si="57"/>
        <v>DD3</v>
      </c>
      <c r="AR44" s="181">
        <v>4</v>
      </c>
      <c r="AS44" s="184">
        <v>14824.34</v>
      </c>
      <c r="AT44" s="180" t="str">
        <f t="shared" si="58"/>
        <v>DD4</v>
      </c>
      <c r="AU44" s="181">
        <v>4</v>
      </c>
      <c r="AV44" s="184">
        <v>15824.34</v>
      </c>
      <c r="AW44" s="180" t="str">
        <f t="shared" si="59"/>
        <v>D1A</v>
      </c>
      <c r="AX44" s="181">
        <v>4</v>
      </c>
      <c r="AY44" s="184">
        <v>13359.54</v>
      </c>
      <c r="AZ44" s="180" t="str">
        <f t="shared" si="60"/>
        <v>D2A</v>
      </c>
      <c r="BA44" s="181">
        <v>4</v>
      </c>
      <c r="BB44" s="184">
        <v>14373.95</v>
      </c>
      <c r="BC44" s="180" t="str">
        <f t="shared" si="61"/>
        <v>D3A</v>
      </c>
      <c r="BD44" s="181">
        <v>4</v>
      </c>
      <c r="BE44" s="184">
        <v>15230.82</v>
      </c>
      <c r="BF44" s="180" t="str">
        <f t="shared" si="62"/>
        <v>D4A</v>
      </c>
      <c r="BG44" s="181">
        <v>4</v>
      </c>
      <c r="BH44" s="184">
        <v>16230.82</v>
      </c>
      <c r="BI44" s="180" t="str">
        <f t="shared" si="63"/>
        <v>D1B</v>
      </c>
      <c r="BJ44" s="181">
        <v>4</v>
      </c>
      <c r="BK44" s="184">
        <v>13611.11</v>
      </c>
      <c r="BL44" s="180" t="str">
        <f t="shared" si="64"/>
        <v>D2B</v>
      </c>
      <c r="BM44" s="181">
        <v>4</v>
      </c>
      <c r="BN44" s="184">
        <v>14655.3</v>
      </c>
      <c r="BO44" s="180" t="str">
        <f t="shared" si="65"/>
        <v>D3B</v>
      </c>
      <c r="BP44" s="181">
        <v>4</v>
      </c>
      <c r="BQ44" s="184">
        <v>15911.41</v>
      </c>
      <c r="BR44" s="180" t="str">
        <f t="shared" si="66"/>
        <v>D4B</v>
      </c>
      <c r="BS44" s="181">
        <v>4</v>
      </c>
      <c r="BT44" s="184">
        <v>19126.66</v>
      </c>
      <c r="BU44" s="180" t="str">
        <f t="shared" si="67"/>
        <v>D1C</v>
      </c>
      <c r="BV44" s="181">
        <v>4</v>
      </c>
      <c r="BW44" s="184">
        <v>13611.11</v>
      </c>
      <c r="BX44" s="180" t="str">
        <f t="shared" si="68"/>
        <v>D2C</v>
      </c>
      <c r="BY44" s="181">
        <v>4</v>
      </c>
      <c r="BZ44" s="184">
        <v>14338.97</v>
      </c>
      <c r="CA44" s="180" t="str">
        <f t="shared" si="69"/>
        <v>D3C</v>
      </c>
      <c r="CB44" s="181">
        <v>4</v>
      </c>
      <c r="CC44" s="184">
        <v>15911.41</v>
      </c>
      <c r="CD44" s="180" t="str">
        <f t="shared" si="70"/>
        <v>D4C</v>
      </c>
      <c r="CE44" s="181">
        <v>4</v>
      </c>
      <c r="CF44" s="184">
        <v>19126.66</v>
      </c>
    </row>
    <row r="45" spans="1:103" x14ac:dyDescent="0.2">
      <c r="A45" s="180" t="str">
        <f t="shared" si="43"/>
        <v>CC1</v>
      </c>
      <c r="B45" s="181">
        <v>5</v>
      </c>
      <c r="C45" s="184">
        <v>15431.97</v>
      </c>
      <c r="D45" s="180" t="str">
        <f t="shared" si="44"/>
        <v>CC2</v>
      </c>
      <c r="E45" s="181">
        <v>5</v>
      </c>
      <c r="F45" s="184">
        <v>17085.43</v>
      </c>
      <c r="G45" s="180" t="str">
        <f t="shared" si="45"/>
        <v>CC3</v>
      </c>
      <c r="H45" s="181">
        <v>5</v>
      </c>
      <c r="I45" s="184">
        <v>18675.43</v>
      </c>
      <c r="J45" s="180" t="str">
        <f t="shared" si="46"/>
        <v>CC4</v>
      </c>
      <c r="K45" s="181">
        <v>5</v>
      </c>
      <c r="L45" s="184">
        <v>20265.43</v>
      </c>
      <c r="M45" s="180" t="str">
        <f t="shared" si="47"/>
        <v>C1A</v>
      </c>
      <c r="N45" s="181">
        <v>5</v>
      </c>
      <c r="O45" s="184">
        <v>15716.28</v>
      </c>
      <c r="P45" s="180" t="str">
        <f t="shared" si="48"/>
        <v>C2A</v>
      </c>
      <c r="Q45" s="181">
        <v>5</v>
      </c>
      <c r="R45" s="184">
        <v>17416.28</v>
      </c>
      <c r="S45" s="180" t="str">
        <f t="shared" si="49"/>
        <v>C3A</v>
      </c>
      <c r="T45" s="181">
        <v>5</v>
      </c>
      <c r="U45" s="184">
        <v>18831.8</v>
      </c>
      <c r="V45" s="180" t="str">
        <f t="shared" si="50"/>
        <v>C4A</v>
      </c>
      <c r="W45" s="181">
        <v>5</v>
      </c>
      <c r="X45" s="184">
        <v>20421.8</v>
      </c>
      <c r="Y45" s="180" t="str">
        <f t="shared" si="51"/>
        <v>C1D</v>
      </c>
      <c r="Z45" s="181">
        <v>5</v>
      </c>
      <c r="AA45" s="184">
        <v>17164.259999999998</v>
      </c>
      <c r="AB45" s="180" t="str">
        <f t="shared" si="52"/>
        <v>C2D</v>
      </c>
      <c r="AC45" s="181">
        <v>5</v>
      </c>
      <c r="AD45" s="184">
        <v>17157.650000000001</v>
      </c>
      <c r="AE45" s="180" t="str">
        <f t="shared" si="53"/>
        <v>C3D</v>
      </c>
      <c r="AF45" s="181">
        <v>5</v>
      </c>
      <c r="AG45" s="184">
        <v>19148.72</v>
      </c>
      <c r="AH45" s="180" t="str">
        <f t="shared" si="54"/>
        <v>C4D</v>
      </c>
      <c r="AI45" s="181">
        <v>5</v>
      </c>
      <c r="AJ45" s="184">
        <v>20317.36</v>
      </c>
      <c r="AK45" s="180" t="str">
        <f t="shared" si="55"/>
        <v>DD1</v>
      </c>
      <c r="AL45" s="181">
        <v>5</v>
      </c>
      <c r="AM45" s="184">
        <v>12974.72</v>
      </c>
      <c r="AN45" s="180" t="str">
        <f t="shared" si="56"/>
        <v>DD2</v>
      </c>
      <c r="AO45" s="181">
        <v>5</v>
      </c>
      <c r="AP45" s="184">
        <v>13884.72</v>
      </c>
      <c r="AQ45" s="180" t="str">
        <f t="shared" si="57"/>
        <v>DD3</v>
      </c>
      <c r="AR45" s="181">
        <v>5</v>
      </c>
      <c r="AS45" s="184">
        <v>14883.68</v>
      </c>
      <c r="AT45" s="180" t="str">
        <f t="shared" si="58"/>
        <v>DD4</v>
      </c>
      <c r="AU45" s="181">
        <v>5</v>
      </c>
      <c r="AV45" s="184">
        <v>15883.68</v>
      </c>
      <c r="AW45" s="180" t="str">
        <f t="shared" si="59"/>
        <v>D1A</v>
      </c>
      <c r="AX45" s="181">
        <v>5</v>
      </c>
      <c r="AY45" s="184">
        <v>13521.51</v>
      </c>
      <c r="AZ45" s="180" t="str">
        <f t="shared" si="60"/>
        <v>D2A</v>
      </c>
      <c r="BA45" s="181">
        <v>5</v>
      </c>
      <c r="BB45" s="184">
        <v>14546.28</v>
      </c>
      <c r="BC45" s="180" t="str">
        <f t="shared" si="61"/>
        <v>D3A</v>
      </c>
      <c r="BD45" s="181">
        <v>5</v>
      </c>
      <c r="BE45" s="184">
        <v>15428.17</v>
      </c>
      <c r="BF45" s="180" t="str">
        <f t="shared" si="62"/>
        <v>D4A</v>
      </c>
      <c r="BG45" s="181">
        <v>5</v>
      </c>
      <c r="BH45" s="184">
        <v>16428.169999999998</v>
      </c>
      <c r="BI45" s="180" t="str">
        <f t="shared" si="63"/>
        <v>D1B</v>
      </c>
      <c r="BJ45" s="181">
        <v>5</v>
      </c>
      <c r="BK45" s="184">
        <v>13832.38</v>
      </c>
      <c r="BL45" s="180" t="str">
        <f t="shared" si="64"/>
        <v>D2B</v>
      </c>
      <c r="BM45" s="181">
        <v>5</v>
      </c>
      <c r="BN45" s="184">
        <v>14868.8</v>
      </c>
      <c r="BO45" s="180" t="str">
        <f t="shared" si="65"/>
        <v>D3B</v>
      </c>
      <c r="BP45" s="181">
        <v>5</v>
      </c>
      <c r="BQ45" s="184">
        <v>16178.2</v>
      </c>
      <c r="BR45" s="180" t="str">
        <f t="shared" si="66"/>
        <v>D4B</v>
      </c>
      <c r="BS45" s="181">
        <v>5</v>
      </c>
      <c r="BT45" s="184">
        <v>19393.45</v>
      </c>
      <c r="BU45" s="180" t="str">
        <f t="shared" si="67"/>
        <v>D1C</v>
      </c>
      <c r="BV45" s="181">
        <v>5</v>
      </c>
      <c r="BW45" s="184">
        <v>13832.38</v>
      </c>
      <c r="BX45" s="180" t="str">
        <f t="shared" si="68"/>
        <v>D2C</v>
      </c>
      <c r="BY45" s="181">
        <v>5</v>
      </c>
      <c r="BZ45" s="184">
        <v>14547.29</v>
      </c>
      <c r="CA45" s="180" t="str">
        <f t="shared" si="69"/>
        <v>D3C</v>
      </c>
      <c r="CB45" s="181">
        <v>5</v>
      </c>
      <c r="CC45" s="184">
        <v>16178.2</v>
      </c>
      <c r="CD45" s="180" t="str">
        <f t="shared" si="70"/>
        <v>D4C</v>
      </c>
      <c r="CE45" s="181">
        <v>5</v>
      </c>
      <c r="CF45" s="184">
        <v>19393.45</v>
      </c>
    </row>
    <row r="46" spans="1:103" x14ac:dyDescent="0.2">
      <c r="A46" s="180" t="str">
        <f t="shared" si="43"/>
        <v>CC1</v>
      </c>
      <c r="B46" s="181">
        <v>6</v>
      </c>
      <c r="C46" s="184">
        <v>15450.43</v>
      </c>
      <c r="D46" s="180" t="str">
        <f t="shared" si="44"/>
        <v>CC2</v>
      </c>
      <c r="E46" s="181">
        <v>6</v>
      </c>
      <c r="F46" s="184">
        <v>17175.43</v>
      </c>
      <c r="G46" s="180" t="str">
        <f t="shared" si="45"/>
        <v>CC3</v>
      </c>
      <c r="H46" s="181">
        <v>6</v>
      </c>
      <c r="I46" s="184">
        <v>18765.43</v>
      </c>
      <c r="J46" s="180" t="str">
        <f t="shared" si="46"/>
        <v>CC4</v>
      </c>
      <c r="K46" s="181">
        <v>6</v>
      </c>
      <c r="L46" s="184">
        <v>20355.43</v>
      </c>
      <c r="M46" s="180" t="str">
        <f t="shared" si="47"/>
        <v>C1A</v>
      </c>
      <c r="N46" s="181">
        <v>6</v>
      </c>
      <c r="O46" s="184">
        <v>15716.28</v>
      </c>
      <c r="P46" s="180" t="str">
        <f t="shared" si="48"/>
        <v>C2A</v>
      </c>
      <c r="Q46" s="181">
        <v>6</v>
      </c>
      <c r="R46" s="184">
        <v>17441.8</v>
      </c>
      <c r="S46" s="180" t="str">
        <f t="shared" si="49"/>
        <v>C3A</v>
      </c>
      <c r="T46" s="181">
        <v>6</v>
      </c>
      <c r="U46" s="184">
        <v>18921.8</v>
      </c>
      <c r="V46" s="180" t="str">
        <f t="shared" si="50"/>
        <v>C4A</v>
      </c>
      <c r="W46" s="181">
        <v>6</v>
      </c>
      <c r="X46" s="184">
        <v>20511.8</v>
      </c>
      <c r="Y46" s="180" t="str">
        <f t="shared" si="51"/>
        <v>C1D</v>
      </c>
      <c r="Z46" s="181">
        <v>6</v>
      </c>
      <c r="AA46" s="184">
        <v>17164.259999999998</v>
      </c>
      <c r="AB46" s="180" t="str">
        <f t="shared" si="52"/>
        <v>C2D</v>
      </c>
      <c r="AC46" s="181">
        <v>6</v>
      </c>
      <c r="AD46" s="184">
        <v>17247.650000000001</v>
      </c>
      <c r="AE46" s="180" t="str">
        <f t="shared" si="53"/>
        <v>C3D</v>
      </c>
      <c r="AF46" s="181">
        <v>6</v>
      </c>
      <c r="AG46" s="184">
        <v>19159.650000000001</v>
      </c>
      <c r="AH46" s="180" t="str">
        <f t="shared" si="54"/>
        <v>C4D</v>
      </c>
      <c r="AI46" s="181">
        <v>6</v>
      </c>
      <c r="AJ46" s="184">
        <v>20407.36</v>
      </c>
      <c r="AK46" s="180" t="str">
        <f t="shared" si="55"/>
        <v>DD1</v>
      </c>
      <c r="AL46" s="181">
        <v>6</v>
      </c>
      <c r="AM46" s="184">
        <v>12986.87</v>
      </c>
      <c r="AN46" s="180" t="str">
        <f t="shared" si="56"/>
        <v>DD2</v>
      </c>
      <c r="AO46" s="181">
        <v>6</v>
      </c>
      <c r="AP46" s="184">
        <v>13896.87</v>
      </c>
      <c r="AQ46" s="180" t="str">
        <f t="shared" si="57"/>
        <v>DD3</v>
      </c>
      <c r="AR46" s="181">
        <v>6</v>
      </c>
      <c r="AS46" s="184">
        <v>14883.68</v>
      </c>
      <c r="AT46" s="180" t="str">
        <f t="shared" si="58"/>
        <v>DD4</v>
      </c>
      <c r="AU46" s="181">
        <v>6</v>
      </c>
      <c r="AV46" s="184">
        <v>15883.68</v>
      </c>
      <c r="AW46" s="180" t="str">
        <f t="shared" si="59"/>
        <v>D1A</v>
      </c>
      <c r="AX46" s="181">
        <v>6</v>
      </c>
      <c r="AY46" s="184">
        <v>13575.96</v>
      </c>
      <c r="AZ46" s="180" t="str">
        <f t="shared" si="60"/>
        <v>D2A</v>
      </c>
      <c r="BA46" s="181">
        <v>6</v>
      </c>
      <c r="BB46" s="184">
        <v>14600.73</v>
      </c>
      <c r="BC46" s="180" t="str">
        <f t="shared" si="61"/>
        <v>D3A</v>
      </c>
      <c r="BD46" s="181">
        <v>6</v>
      </c>
      <c r="BE46" s="184">
        <v>15482.62</v>
      </c>
      <c r="BF46" s="180" t="str">
        <f t="shared" si="62"/>
        <v>D4A</v>
      </c>
      <c r="BG46" s="181">
        <v>6</v>
      </c>
      <c r="BH46" s="184">
        <v>16482.62</v>
      </c>
      <c r="BI46" s="180" t="str">
        <f t="shared" si="63"/>
        <v>D1B</v>
      </c>
      <c r="BJ46" s="181">
        <v>6</v>
      </c>
      <c r="BK46" s="184">
        <v>13832.38</v>
      </c>
      <c r="BL46" s="180" t="str">
        <f t="shared" si="64"/>
        <v>D2B</v>
      </c>
      <c r="BM46" s="181">
        <v>6</v>
      </c>
      <c r="BN46" s="184">
        <v>14868.8</v>
      </c>
      <c r="BO46" s="180" t="str">
        <f t="shared" si="65"/>
        <v>D3B</v>
      </c>
      <c r="BP46" s="181">
        <v>6</v>
      </c>
      <c r="BQ46" s="184">
        <v>16178.2</v>
      </c>
      <c r="BR46" s="180" t="str">
        <f t="shared" si="66"/>
        <v>D4B</v>
      </c>
      <c r="BS46" s="181">
        <v>6</v>
      </c>
      <c r="BT46" s="184">
        <v>19393.45</v>
      </c>
      <c r="BU46" s="180" t="str">
        <f t="shared" si="67"/>
        <v>D1C</v>
      </c>
      <c r="BV46" s="181">
        <v>6</v>
      </c>
      <c r="BW46" s="184">
        <v>13832.38</v>
      </c>
      <c r="BX46" s="180" t="str">
        <f t="shared" si="68"/>
        <v>D2C</v>
      </c>
      <c r="BY46" s="181">
        <v>6</v>
      </c>
      <c r="BZ46" s="184">
        <v>14601.74</v>
      </c>
      <c r="CA46" s="180" t="str">
        <f t="shared" si="69"/>
        <v>D3C</v>
      </c>
      <c r="CB46" s="181">
        <v>6</v>
      </c>
      <c r="CC46" s="184">
        <v>16178.2</v>
      </c>
      <c r="CD46" s="180" t="str">
        <f t="shared" si="70"/>
        <v>D4C</v>
      </c>
      <c r="CE46" s="181">
        <v>6</v>
      </c>
      <c r="CF46" s="184">
        <v>19393.45</v>
      </c>
    </row>
    <row r="47" spans="1:103" x14ac:dyDescent="0.2">
      <c r="A47" s="180" t="str">
        <f t="shared" si="43"/>
        <v>CC1</v>
      </c>
      <c r="B47" s="181">
        <v>7</v>
      </c>
      <c r="C47" s="184">
        <v>15788.31</v>
      </c>
      <c r="D47" s="180" t="str">
        <f t="shared" si="44"/>
        <v>CC2</v>
      </c>
      <c r="E47" s="181">
        <v>7</v>
      </c>
      <c r="F47" s="184">
        <v>17460.97</v>
      </c>
      <c r="G47" s="180" t="str">
        <f t="shared" si="45"/>
        <v>CC3</v>
      </c>
      <c r="H47" s="181">
        <v>7</v>
      </c>
      <c r="I47" s="184">
        <v>19050.97</v>
      </c>
      <c r="J47" s="180" t="str">
        <f t="shared" si="46"/>
        <v>CC4</v>
      </c>
      <c r="K47" s="181">
        <v>7</v>
      </c>
      <c r="L47" s="184">
        <v>20640.97</v>
      </c>
      <c r="M47" s="180" t="str">
        <f t="shared" si="47"/>
        <v>C1A</v>
      </c>
      <c r="N47" s="181">
        <v>7</v>
      </c>
      <c r="O47" s="184">
        <v>16072.62</v>
      </c>
      <c r="P47" s="180" t="str">
        <f t="shared" si="48"/>
        <v>C2A</v>
      </c>
      <c r="Q47" s="181">
        <v>7</v>
      </c>
      <c r="R47" s="184">
        <v>17772.62</v>
      </c>
      <c r="S47" s="180" t="str">
        <f t="shared" si="49"/>
        <v>C3A</v>
      </c>
      <c r="T47" s="181">
        <v>7</v>
      </c>
      <c r="U47" s="184">
        <v>19207.34</v>
      </c>
      <c r="V47" s="180" t="str">
        <f t="shared" si="50"/>
        <v>C4A</v>
      </c>
      <c r="W47" s="181">
        <v>7</v>
      </c>
      <c r="X47" s="184">
        <v>20797.34</v>
      </c>
      <c r="Y47" s="180" t="str">
        <f t="shared" si="51"/>
        <v>C1D</v>
      </c>
      <c r="Z47" s="181">
        <v>7</v>
      </c>
      <c r="AA47" s="184">
        <v>17699.39</v>
      </c>
      <c r="AB47" s="180" t="str">
        <f t="shared" si="52"/>
        <v>C2D</v>
      </c>
      <c r="AC47" s="181">
        <v>7</v>
      </c>
      <c r="AD47" s="184">
        <v>17533.189999999999</v>
      </c>
      <c r="AE47" s="180" t="str">
        <f t="shared" si="53"/>
        <v>C3D</v>
      </c>
      <c r="AF47" s="181">
        <v>7</v>
      </c>
      <c r="AG47" s="184">
        <v>19505.060000000001</v>
      </c>
      <c r="AH47" s="180" t="str">
        <f t="shared" si="54"/>
        <v>C4D</v>
      </c>
      <c r="AI47" s="181">
        <v>7</v>
      </c>
      <c r="AJ47" s="184">
        <v>20692.900000000001</v>
      </c>
      <c r="AK47" s="180" t="str">
        <f t="shared" si="55"/>
        <v>DD1</v>
      </c>
      <c r="AL47" s="181">
        <v>7</v>
      </c>
      <c r="AM47" s="184">
        <v>13031.66</v>
      </c>
      <c r="AN47" s="180" t="str">
        <f t="shared" si="56"/>
        <v>DD2</v>
      </c>
      <c r="AO47" s="181">
        <v>7</v>
      </c>
      <c r="AP47" s="184">
        <v>13943.02</v>
      </c>
      <c r="AQ47" s="180" t="str">
        <f t="shared" si="57"/>
        <v>DD3</v>
      </c>
      <c r="AR47" s="181">
        <v>7</v>
      </c>
      <c r="AS47" s="184">
        <v>14943.02</v>
      </c>
      <c r="AT47" s="180" t="str">
        <f t="shared" si="58"/>
        <v>DD4</v>
      </c>
      <c r="AU47" s="181">
        <v>7</v>
      </c>
      <c r="AV47" s="184">
        <v>15943.02</v>
      </c>
      <c r="AW47" s="180" t="str">
        <f t="shared" si="59"/>
        <v>D1A</v>
      </c>
      <c r="AX47" s="181">
        <v>7</v>
      </c>
      <c r="AY47" s="184">
        <v>13737.93</v>
      </c>
      <c r="AZ47" s="180" t="str">
        <f t="shared" si="60"/>
        <v>D2A</v>
      </c>
      <c r="BA47" s="181">
        <v>7</v>
      </c>
      <c r="BB47" s="184">
        <v>14773.05</v>
      </c>
      <c r="BC47" s="180" t="str">
        <f t="shared" si="61"/>
        <v>D3A</v>
      </c>
      <c r="BD47" s="181">
        <v>7</v>
      </c>
      <c r="BE47" s="184">
        <v>15679.97</v>
      </c>
      <c r="BF47" s="180" t="str">
        <f t="shared" si="62"/>
        <v>D4A</v>
      </c>
      <c r="BG47" s="181">
        <v>7</v>
      </c>
      <c r="BH47" s="184">
        <v>16679.97</v>
      </c>
      <c r="BI47" s="180" t="str">
        <f t="shared" si="63"/>
        <v>D1B</v>
      </c>
      <c r="BJ47" s="181">
        <v>7</v>
      </c>
      <c r="BK47" s="184">
        <v>14053.65</v>
      </c>
      <c r="BL47" s="180" t="str">
        <f t="shared" si="64"/>
        <v>D2B</v>
      </c>
      <c r="BM47" s="181">
        <v>7</v>
      </c>
      <c r="BN47" s="184">
        <v>15082.3</v>
      </c>
      <c r="BO47" s="180" t="str">
        <f t="shared" si="65"/>
        <v>D3B</v>
      </c>
      <c r="BP47" s="181">
        <v>7</v>
      </c>
      <c r="BQ47" s="184">
        <v>16444.990000000002</v>
      </c>
      <c r="BR47" s="180" t="str">
        <f t="shared" si="66"/>
        <v>D4B</v>
      </c>
      <c r="BS47" s="181">
        <v>7</v>
      </c>
      <c r="BT47" s="184">
        <v>19660.240000000002</v>
      </c>
      <c r="BU47" s="180" t="str">
        <f t="shared" si="67"/>
        <v>D1C</v>
      </c>
      <c r="BV47" s="181">
        <v>7</v>
      </c>
      <c r="BW47" s="184">
        <v>14053.65</v>
      </c>
      <c r="BX47" s="180" t="str">
        <f t="shared" si="68"/>
        <v>D2C</v>
      </c>
      <c r="BY47" s="181">
        <v>7</v>
      </c>
      <c r="BZ47" s="184">
        <v>14810.06</v>
      </c>
      <c r="CA47" s="180" t="str">
        <f t="shared" si="69"/>
        <v>D3C</v>
      </c>
      <c r="CB47" s="181">
        <v>7</v>
      </c>
      <c r="CC47" s="184">
        <v>16444.990000000002</v>
      </c>
      <c r="CD47" s="180" t="str">
        <f t="shared" si="70"/>
        <v>D4C</v>
      </c>
      <c r="CE47" s="181">
        <v>7</v>
      </c>
      <c r="CF47" s="184">
        <v>19660.240000000002</v>
      </c>
    </row>
    <row r="48" spans="1:103" x14ac:dyDescent="0.2">
      <c r="A48" s="180" t="str">
        <f t="shared" si="43"/>
        <v>CC1</v>
      </c>
      <c r="B48" s="181">
        <v>8</v>
      </c>
      <c r="C48" s="184">
        <v>15825.97</v>
      </c>
      <c r="D48" s="180" t="str">
        <f t="shared" si="44"/>
        <v>CC2</v>
      </c>
      <c r="E48" s="181">
        <v>8</v>
      </c>
      <c r="F48" s="184">
        <v>17550.97</v>
      </c>
      <c r="G48" s="180" t="str">
        <f t="shared" si="45"/>
        <v>CC3</v>
      </c>
      <c r="H48" s="181">
        <v>8</v>
      </c>
      <c r="I48" s="184">
        <v>19140.97</v>
      </c>
      <c r="J48" s="180" t="str">
        <f t="shared" si="46"/>
        <v>CC4</v>
      </c>
      <c r="K48" s="181">
        <v>8</v>
      </c>
      <c r="L48" s="184">
        <v>20730.97</v>
      </c>
      <c r="M48" s="180" t="str">
        <f t="shared" si="47"/>
        <v>C1A</v>
      </c>
      <c r="N48" s="181">
        <v>8</v>
      </c>
      <c r="O48" s="184">
        <v>16072.62</v>
      </c>
      <c r="P48" s="180" t="str">
        <f t="shared" si="48"/>
        <v>C2A</v>
      </c>
      <c r="Q48" s="181">
        <v>8</v>
      </c>
      <c r="R48" s="184">
        <v>17817.34</v>
      </c>
      <c r="S48" s="180" t="str">
        <f t="shared" si="49"/>
        <v>C3A</v>
      </c>
      <c r="T48" s="181">
        <v>8</v>
      </c>
      <c r="U48" s="184">
        <v>19297.34</v>
      </c>
      <c r="V48" s="180" t="str">
        <f t="shared" si="50"/>
        <v>C4A</v>
      </c>
      <c r="W48" s="181">
        <v>8</v>
      </c>
      <c r="X48" s="184">
        <v>20887.34</v>
      </c>
      <c r="Y48" s="180" t="str">
        <f t="shared" si="51"/>
        <v>C1D</v>
      </c>
      <c r="Z48" s="181">
        <v>8</v>
      </c>
      <c r="AA48" s="184">
        <v>17699.39</v>
      </c>
      <c r="AB48" s="180" t="str">
        <f t="shared" si="52"/>
        <v>C2D</v>
      </c>
      <c r="AC48" s="181">
        <v>8</v>
      </c>
      <c r="AD48" s="184">
        <v>17623.189999999999</v>
      </c>
      <c r="AE48" s="180" t="str">
        <f t="shared" si="53"/>
        <v>C3D</v>
      </c>
      <c r="AF48" s="181">
        <v>8</v>
      </c>
      <c r="AG48" s="184">
        <v>19535.18</v>
      </c>
      <c r="AH48" s="180" t="str">
        <f t="shared" si="54"/>
        <v>C4D</v>
      </c>
      <c r="AI48" s="181">
        <v>8</v>
      </c>
      <c r="AJ48" s="184">
        <v>20782.900000000001</v>
      </c>
      <c r="AK48" s="180" t="str">
        <f t="shared" si="55"/>
        <v>DD1</v>
      </c>
      <c r="AL48" s="181">
        <v>8</v>
      </c>
      <c r="AM48" s="184">
        <v>13043.36</v>
      </c>
      <c r="AN48" s="180" t="str">
        <f t="shared" si="56"/>
        <v>DD2</v>
      </c>
      <c r="AO48" s="181">
        <v>8</v>
      </c>
      <c r="AP48" s="184">
        <v>13953.36</v>
      </c>
      <c r="AQ48" s="180" t="str">
        <f t="shared" si="57"/>
        <v>DD3</v>
      </c>
      <c r="AR48" s="181">
        <v>8</v>
      </c>
      <c r="AS48" s="184">
        <v>14943.02</v>
      </c>
      <c r="AT48" s="180" t="str">
        <f t="shared" si="58"/>
        <v>DD4</v>
      </c>
      <c r="AU48" s="181">
        <v>8</v>
      </c>
      <c r="AV48" s="184">
        <v>15943.02</v>
      </c>
      <c r="AW48" s="180" t="str">
        <f t="shared" si="59"/>
        <v>D1A</v>
      </c>
      <c r="AX48" s="181">
        <v>8</v>
      </c>
      <c r="AY48" s="184">
        <v>13792.83</v>
      </c>
      <c r="AZ48" s="180" t="str">
        <f t="shared" si="60"/>
        <v>D2A</v>
      </c>
      <c r="BA48" s="181">
        <v>8</v>
      </c>
      <c r="BB48" s="184">
        <v>14827.95</v>
      </c>
      <c r="BC48" s="180" t="str">
        <f t="shared" si="61"/>
        <v>D3A</v>
      </c>
      <c r="BD48" s="181">
        <v>8</v>
      </c>
      <c r="BE48" s="184">
        <v>15734.87</v>
      </c>
      <c r="BF48" s="180" t="str">
        <f t="shared" si="62"/>
        <v>D4A</v>
      </c>
      <c r="BG48" s="181">
        <v>8</v>
      </c>
      <c r="BH48" s="184">
        <v>16734.87</v>
      </c>
      <c r="BI48" s="180" t="str">
        <f t="shared" si="63"/>
        <v>D1B</v>
      </c>
      <c r="BJ48" s="181">
        <v>8</v>
      </c>
      <c r="BK48" s="184">
        <v>14053.65</v>
      </c>
      <c r="BL48" s="180" t="str">
        <f t="shared" si="64"/>
        <v>D2B</v>
      </c>
      <c r="BM48" s="181">
        <v>8</v>
      </c>
      <c r="BN48" s="184">
        <v>15082.3</v>
      </c>
      <c r="BO48" s="180" t="str">
        <f t="shared" si="65"/>
        <v>D3B</v>
      </c>
      <c r="BP48" s="181">
        <v>8</v>
      </c>
      <c r="BQ48" s="184">
        <v>16444.990000000002</v>
      </c>
      <c r="BR48" s="180" t="str">
        <f t="shared" si="66"/>
        <v>D4B</v>
      </c>
      <c r="BS48" s="181">
        <v>8</v>
      </c>
      <c r="BT48" s="184">
        <v>19660.240000000002</v>
      </c>
      <c r="BU48" s="180" t="str">
        <f t="shared" si="67"/>
        <v>D1C</v>
      </c>
      <c r="BV48" s="181">
        <v>8</v>
      </c>
      <c r="BW48" s="184">
        <v>14053.65</v>
      </c>
      <c r="BX48" s="180" t="str">
        <f t="shared" si="68"/>
        <v>D2C</v>
      </c>
      <c r="BY48" s="181">
        <v>8</v>
      </c>
      <c r="BZ48" s="184">
        <v>14864.96</v>
      </c>
      <c r="CA48" s="180" t="str">
        <f t="shared" si="69"/>
        <v>D3C</v>
      </c>
      <c r="CB48" s="181">
        <v>8</v>
      </c>
      <c r="CC48" s="184">
        <v>16444.990000000002</v>
      </c>
      <c r="CD48" s="180" t="str">
        <f t="shared" si="70"/>
        <v>D4C</v>
      </c>
      <c r="CE48" s="181">
        <v>8</v>
      </c>
      <c r="CF48" s="184">
        <v>19660.240000000002</v>
      </c>
    </row>
    <row r="49" spans="1:84" x14ac:dyDescent="0.2">
      <c r="A49" s="180" t="str">
        <f t="shared" si="43"/>
        <v>CC1</v>
      </c>
      <c r="B49" s="181">
        <v>9</v>
      </c>
      <c r="C49" s="184">
        <v>16411.919999999998</v>
      </c>
      <c r="D49" s="180" t="str">
        <f t="shared" si="44"/>
        <v>CC2</v>
      </c>
      <c r="E49" s="181">
        <v>9</v>
      </c>
      <c r="F49" s="184">
        <v>17983.96</v>
      </c>
      <c r="G49" s="180" t="str">
        <f t="shared" si="45"/>
        <v>CC3</v>
      </c>
      <c r="H49" s="181">
        <v>9</v>
      </c>
      <c r="I49" s="184">
        <v>19573.96</v>
      </c>
      <c r="J49" s="180" t="str">
        <f t="shared" si="46"/>
        <v>CC4</v>
      </c>
      <c r="K49" s="181">
        <v>9</v>
      </c>
      <c r="L49" s="184">
        <v>21163.96</v>
      </c>
      <c r="M49" s="180" t="str">
        <f t="shared" si="47"/>
        <v>C1A</v>
      </c>
      <c r="N49" s="181">
        <v>9</v>
      </c>
      <c r="O49" s="184">
        <v>16696.23</v>
      </c>
      <c r="P49" s="180" t="str">
        <f t="shared" si="48"/>
        <v>C2A</v>
      </c>
      <c r="Q49" s="181">
        <v>9</v>
      </c>
      <c r="R49" s="184">
        <v>18396.23</v>
      </c>
      <c r="S49" s="180" t="str">
        <f t="shared" si="49"/>
        <v>C3A</v>
      </c>
      <c r="T49" s="181">
        <v>9</v>
      </c>
      <c r="U49" s="184">
        <v>19730.330000000002</v>
      </c>
      <c r="V49" s="180" t="str">
        <f t="shared" si="50"/>
        <v>C4A</v>
      </c>
      <c r="W49" s="181">
        <v>9</v>
      </c>
      <c r="X49" s="184">
        <v>21320.33</v>
      </c>
      <c r="Y49" s="180" t="str">
        <f t="shared" si="51"/>
        <v>C1D</v>
      </c>
      <c r="Z49" s="181">
        <v>9</v>
      </c>
      <c r="AA49" s="184">
        <v>18234.52</v>
      </c>
      <c r="AB49" s="180" t="str">
        <f t="shared" si="52"/>
        <v>C2D</v>
      </c>
      <c r="AC49" s="181">
        <v>9</v>
      </c>
      <c r="AD49" s="184">
        <v>18132.25</v>
      </c>
      <c r="AE49" s="180" t="str">
        <f t="shared" si="53"/>
        <v>C3D</v>
      </c>
      <c r="AF49" s="181">
        <v>9</v>
      </c>
      <c r="AG49" s="184">
        <v>20217.7</v>
      </c>
      <c r="AH49" s="180" t="str">
        <f t="shared" si="54"/>
        <v>C4D</v>
      </c>
      <c r="AI49" s="181">
        <v>9</v>
      </c>
      <c r="AJ49" s="184">
        <v>21264.85</v>
      </c>
      <c r="AK49" s="180" t="str">
        <f t="shared" si="55"/>
        <v>DD1</v>
      </c>
      <c r="AL49" s="181">
        <v>9</v>
      </c>
      <c r="AM49" s="184">
        <v>13088.15</v>
      </c>
      <c r="AN49" s="180" t="str">
        <f t="shared" si="56"/>
        <v>DD2</v>
      </c>
      <c r="AO49" s="181">
        <v>9</v>
      </c>
      <c r="AP49" s="184">
        <v>14002.36</v>
      </c>
      <c r="AQ49" s="180" t="str">
        <f t="shared" si="57"/>
        <v>DD3</v>
      </c>
      <c r="AR49" s="181">
        <v>9</v>
      </c>
      <c r="AS49" s="184">
        <v>15002.36</v>
      </c>
      <c r="AT49" s="180" t="str">
        <f t="shared" si="58"/>
        <v>DD4</v>
      </c>
      <c r="AU49" s="181">
        <v>9</v>
      </c>
      <c r="AV49" s="184">
        <v>16002.36</v>
      </c>
      <c r="AW49" s="180" t="str">
        <f t="shared" si="59"/>
        <v>D1A</v>
      </c>
      <c r="AX49" s="181">
        <v>9</v>
      </c>
      <c r="AY49" s="184">
        <v>13954.8</v>
      </c>
      <c r="AZ49" s="180" t="str">
        <f t="shared" si="60"/>
        <v>D2A</v>
      </c>
      <c r="BA49" s="181">
        <v>9</v>
      </c>
      <c r="BB49" s="184">
        <v>15000.28</v>
      </c>
      <c r="BC49" s="180" t="str">
        <f t="shared" si="61"/>
        <v>D3A</v>
      </c>
      <c r="BD49" s="181">
        <v>9</v>
      </c>
      <c r="BE49" s="184">
        <v>15932.22</v>
      </c>
      <c r="BF49" s="180" t="str">
        <f t="shared" si="62"/>
        <v>D4A</v>
      </c>
      <c r="BG49" s="181">
        <v>9</v>
      </c>
      <c r="BH49" s="184">
        <v>16932.22</v>
      </c>
      <c r="BI49" s="180" t="str">
        <f t="shared" si="63"/>
        <v>D1B</v>
      </c>
      <c r="BJ49" s="181">
        <v>9</v>
      </c>
      <c r="BK49" s="184">
        <v>14274.92</v>
      </c>
      <c r="BL49" s="180" t="str">
        <f t="shared" si="64"/>
        <v>D2B</v>
      </c>
      <c r="BM49" s="181">
        <v>9</v>
      </c>
      <c r="BN49" s="184">
        <v>15295.8</v>
      </c>
      <c r="BO49" s="180" t="str">
        <f t="shared" si="65"/>
        <v>D3B</v>
      </c>
      <c r="BP49" s="181">
        <v>9</v>
      </c>
      <c r="BQ49" s="184">
        <v>16711.78</v>
      </c>
      <c r="BR49" s="180" t="str">
        <f t="shared" si="66"/>
        <v>D4B</v>
      </c>
      <c r="BS49" s="181">
        <v>9</v>
      </c>
      <c r="BT49" s="184">
        <v>19927.03</v>
      </c>
      <c r="BU49" s="180" t="str">
        <f t="shared" si="67"/>
        <v>D1C</v>
      </c>
      <c r="BV49" s="181">
        <v>9</v>
      </c>
      <c r="BW49" s="184">
        <v>14274.92</v>
      </c>
      <c r="BX49" s="180" t="str">
        <f t="shared" si="68"/>
        <v>D2C</v>
      </c>
      <c r="BY49" s="181">
        <v>9</v>
      </c>
      <c r="BZ49" s="184">
        <v>15073.28</v>
      </c>
      <c r="CA49" s="180" t="str">
        <f t="shared" si="69"/>
        <v>D3C</v>
      </c>
      <c r="CB49" s="181">
        <v>9</v>
      </c>
      <c r="CC49" s="184">
        <v>16711.78</v>
      </c>
      <c r="CD49" s="180" t="str">
        <f t="shared" si="70"/>
        <v>D4C</v>
      </c>
      <c r="CE49" s="181">
        <v>9</v>
      </c>
      <c r="CF49" s="184">
        <v>19927.03</v>
      </c>
    </row>
    <row r="50" spans="1:84" x14ac:dyDescent="0.2">
      <c r="A50" s="180" t="str">
        <f t="shared" si="43"/>
        <v>CC1</v>
      </c>
      <c r="B50" s="181">
        <v>10</v>
      </c>
      <c r="C50" s="184">
        <v>16411.919999999998</v>
      </c>
      <c r="D50" s="180" t="str">
        <f t="shared" si="44"/>
        <v>CC2</v>
      </c>
      <c r="E50" s="181">
        <v>10</v>
      </c>
      <c r="F50" s="184">
        <v>18073.96</v>
      </c>
      <c r="G50" s="180" t="str">
        <f t="shared" si="45"/>
        <v>CC3</v>
      </c>
      <c r="H50" s="181">
        <v>10</v>
      </c>
      <c r="I50" s="184">
        <v>19663.96</v>
      </c>
      <c r="J50" s="180" t="str">
        <f t="shared" si="46"/>
        <v>CC4</v>
      </c>
      <c r="K50" s="181">
        <v>10</v>
      </c>
      <c r="L50" s="184">
        <v>21253.96</v>
      </c>
      <c r="M50" s="180" t="str">
        <f t="shared" si="47"/>
        <v>C1A</v>
      </c>
      <c r="N50" s="181">
        <v>10</v>
      </c>
      <c r="O50" s="184">
        <v>16696.23</v>
      </c>
      <c r="P50" s="180" t="str">
        <f t="shared" si="48"/>
        <v>C2A</v>
      </c>
      <c r="Q50" s="181">
        <v>10</v>
      </c>
      <c r="R50" s="184">
        <v>18396.23</v>
      </c>
      <c r="S50" s="180" t="str">
        <f t="shared" si="49"/>
        <v>C3A</v>
      </c>
      <c r="T50" s="181">
        <v>10</v>
      </c>
      <c r="U50" s="184">
        <v>19820.330000000002</v>
      </c>
      <c r="V50" s="180" t="str">
        <f t="shared" si="50"/>
        <v>C4A</v>
      </c>
      <c r="W50" s="181">
        <v>10</v>
      </c>
      <c r="X50" s="184">
        <v>21410.33</v>
      </c>
      <c r="Y50" s="180" t="str">
        <f t="shared" si="51"/>
        <v>C1D</v>
      </c>
      <c r="Z50" s="181">
        <v>10</v>
      </c>
      <c r="AA50" s="184">
        <v>18234.52</v>
      </c>
      <c r="AB50" s="180" t="str">
        <f t="shared" si="52"/>
        <v>C2D</v>
      </c>
      <c r="AC50" s="181">
        <v>10</v>
      </c>
      <c r="AD50" s="184">
        <v>18195.14</v>
      </c>
      <c r="AE50" s="180" t="str">
        <f t="shared" si="53"/>
        <v>C3D</v>
      </c>
      <c r="AF50" s="181">
        <v>10</v>
      </c>
      <c r="AG50" s="184">
        <v>20217.7</v>
      </c>
      <c r="AH50" s="180" t="str">
        <f t="shared" si="54"/>
        <v>C4D</v>
      </c>
      <c r="AI50" s="181">
        <v>10</v>
      </c>
      <c r="AJ50" s="184">
        <v>21354.85</v>
      </c>
      <c r="AK50" s="180" t="str">
        <f t="shared" si="55"/>
        <v>DD1</v>
      </c>
      <c r="AL50" s="181">
        <v>10</v>
      </c>
      <c r="AM50" s="184">
        <v>13100.3</v>
      </c>
      <c r="AN50" s="180" t="str">
        <f t="shared" si="56"/>
        <v>DD2</v>
      </c>
      <c r="AO50" s="181">
        <v>10</v>
      </c>
      <c r="AP50" s="184">
        <v>14010.3</v>
      </c>
      <c r="AQ50" s="180" t="str">
        <f t="shared" si="57"/>
        <v>DD3</v>
      </c>
      <c r="AR50" s="181">
        <v>10</v>
      </c>
      <c r="AS50" s="184">
        <v>15002.36</v>
      </c>
      <c r="AT50" s="180" t="str">
        <f t="shared" si="58"/>
        <v>DD4</v>
      </c>
      <c r="AU50" s="181">
        <v>10</v>
      </c>
      <c r="AV50" s="184">
        <v>16002.36</v>
      </c>
      <c r="AW50" s="180" t="str">
        <f t="shared" si="59"/>
        <v>D1A</v>
      </c>
      <c r="AX50" s="181">
        <v>10</v>
      </c>
      <c r="AY50" s="184">
        <v>14009.25</v>
      </c>
      <c r="AZ50" s="180" t="str">
        <f t="shared" si="60"/>
        <v>D2A</v>
      </c>
      <c r="BA50" s="181">
        <v>10</v>
      </c>
      <c r="BB50" s="184">
        <v>15054.73</v>
      </c>
      <c r="BC50" s="180" t="str">
        <f t="shared" si="61"/>
        <v>D3A</v>
      </c>
      <c r="BD50" s="181">
        <v>10</v>
      </c>
      <c r="BE50" s="184">
        <v>15986.67</v>
      </c>
      <c r="BF50" s="180" t="str">
        <f t="shared" si="62"/>
        <v>D4A</v>
      </c>
      <c r="BG50" s="181">
        <v>10</v>
      </c>
      <c r="BH50" s="184">
        <v>16986.669999999998</v>
      </c>
      <c r="BI50" s="180" t="str">
        <f t="shared" si="63"/>
        <v>D1B</v>
      </c>
      <c r="BJ50" s="181">
        <v>10</v>
      </c>
      <c r="BK50" s="184">
        <v>14274.92</v>
      </c>
      <c r="BL50" s="180" t="str">
        <f t="shared" si="64"/>
        <v>D2B</v>
      </c>
      <c r="BM50" s="181">
        <v>10</v>
      </c>
      <c r="BN50" s="184">
        <v>15295.8</v>
      </c>
      <c r="BO50" s="180" t="str">
        <f t="shared" si="65"/>
        <v>D3B</v>
      </c>
      <c r="BP50" s="181">
        <v>10</v>
      </c>
      <c r="BQ50" s="184">
        <v>16711.78</v>
      </c>
      <c r="BR50" s="180" t="str">
        <f t="shared" si="66"/>
        <v>D4B</v>
      </c>
      <c r="BS50" s="181">
        <v>10</v>
      </c>
      <c r="BT50" s="184">
        <v>19927.03</v>
      </c>
      <c r="BU50" s="180" t="str">
        <f t="shared" si="67"/>
        <v>D1C</v>
      </c>
      <c r="BV50" s="181">
        <v>10</v>
      </c>
      <c r="BW50" s="184">
        <v>14274.92</v>
      </c>
      <c r="BX50" s="180" t="str">
        <f t="shared" si="68"/>
        <v>D2C</v>
      </c>
      <c r="BY50" s="181">
        <v>10</v>
      </c>
      <c r="BZ50" s="184">
        <v>15127.73</v>
      </c>
      <c r="CA50" s="180" t="str">
        <f t="shared" si="69"/>
        <v>D3C</v>
      </c>
      <c r="CB50" s="181">
        <v>10</v>
      </c>
      <c r="CC50" s="184">
        <v>16711.78</v>
      </c>
      <c r="CD50" s="180" t="str">
        <f t="shared" si="70"/>
        <v>D4C</v>
      </c>
      <c r="CE50" s="181">
        <v>10</v>
      </c>
      <c r="CF50" s="184">
        <v>19927.03</v>
      </c>
    </row>
    <row r="51" spans="1:84" x14ac:dyDescent="0.2">
      <c r="A51" s="180" t="str">
        <f t="shared" si="43"/>
        <v>CC1</v>
      </c>
      <c r="B51" s="181">
        <v>11</v>
      </c>
      <c r="C51" s="184">
        <v>17035.53</v>
      </c>
      <c r="D51" s="180" t="str">
        <f t="shared" si="44"/>
        <v>CC2</v>
      </c>
      <c r="E51" s="181">
        <v>11</v>
      </c>
      <c r="F51" s="184">
        <v>18535.53</v>
      </c>
      <c r="G51" s="180" t="str">
        <f t="shared" si="45"/>
        <v>CC3</v>
      </c>
      <c r="H51" s="181">
        <v>11</v>
      </c>
      <c r="I51" s="184">
        <v>20096.490000000002</v>
      </c>
      <c r="J51" s="180" t="str">
        <f t="shared" si="46"/>
        <v>CC4</v>
      </c>
      <c r="K51" s="181">
        <v>11</v>
      </c>
      <c r="L51" s="184">
        <v>21686.49</v>
      </c>
      <c r="M51" s="180" t="str">
        <f t="shared" si="47"/>
        <v>C1A</v>
      </c>
      <c r="N51" s="181">
        <v>11</v>
      </c>
      <c r="O51" s="184">
        <v>17319.84</v>
      </c>
      <c r="P51" s="180" t="str">
        <f t="shared" si="48"/>
        <v>C2A</v>
      </c>
      <c r="Q51" s="181">
        <v>11</v>
      </c>
      <c r="R51" s="184">
        <v>19019.84</v>
      </c>
      <c r="S51" s="180" t="str">
        <f t="shared" si="49"/>
        <v>C3A</v>
      </c>
      <c r="T51" s="181">
        <v>11</v>
      </c>
      <c r="U51" s="184">
        <v>20319.84</v>
      </c>
      <c r="V51" s="180" t="str">
        <f t="shared" si="50"/>
        <v>C4A</v>
      </c>
      <c r="W51" s="181">
        <v>11</v>
      </c>
      <c r="X51" s="184">
        <v>21842.86</v>
      </c>
      <c r="Y51" s="180" t="str">
        <f t="shared" si="51"/>
        <v>C1D</v>
      </c>
      <c r="Z51" s="181">
        <v>11</v>
      </c>
      <c r="AA51" s="184">
        <v>18769.650000000001</v>
      </c>
      <c r="AB51" s="180" t="str">
        <f t="shared" si="52"/>
        <v>C2D</v>
      </c>
      <c r="AC51" s="181">
        <v>11</v>
      </c>
      <c r="AD51" s="184">
        <v>18844.89</v>
      </c>
      <c r="AE51" s="180" t="str">
        <f t="shared" si="53"/>
        <v>C3D</v>
      </c>
      <c r="AF51" s="181">
        <v>11</v>
      </c>
      <c r="AG51" s="184">
        <v>20930.34</v>
      </c>
      <c r="AH51" s="180" t="str">
        <f t="shared" si="54"/>
        <v>C4D</v>
      </c>
      <c r="AI51" s="181">
        <v>11</v>
      </c>
      <c r="AJ51" s="184">
        <v>21836.35</v>
      </c>
      <c r="AK51" s="180" t="str">
        <f t="shared" si="55"/>
        <v>DD1</v>
      </c>
      <c r="AL51" s="181">
        <v>11</v>
      </c>
      <c r="AM51" s="184">
        <v>13145.09</v>
      </c>
      <c r="AN51" s="180" t="str">
        <f t="shared" si="56"/>
        <v>DD2</v>
      </c>
      <c r="AO51" s="181">
        <v>11</v>
      </c>
      <c r="AP51" s="184">
        <v>14061.7</v>
      </c>
      <c r="AQ51" s="180" t="str">
        <f t="shared" si="57"/>
        <v>DD3</v>
      </c>
      <c r="AR51" s="181">
        <v>11</v>
      </c>
      <c r="AS51" s="184">
        <v>15061.7</v>
      </c>
      <c r="AT51" s="180" t="str">
        <f t="shared" si="58"/>
        <v>DD4</v>
      </c>
      <c r="AU51" s="181">
        <v>11</v>
      </c>
      <c r="AV51" s="184">
        <v>16061.7</v>
      </c>
      <c r="AW51" s="180" t="str">
        <f t="shared" si="59"/>
        <v>D1A</v>
      </c>
      <c r="AX51" s="181">
        <v>11</v>
      </c>
      <c r="AY51" s="184">
        <v>14171.22</v>
      </c>
      <c r="AZ51" s="180" t="str">
        <f t="shared" si="60"/>
        <v>D2A</v>
      </c>
      <c r="BA51" s="181">
        <v>11</v>
      </c>
      <c r="BB51" s="184">
        <v>15227.05</v>
      </c>
      <c r="BC51" s="180" t="str">
        <f t="shared" si="61"/>
        <v>D3A</v>
      </c>
      <c r="BD51" s="181">
        <v>11</v>
      </c>
      <c r="BE51" s="184">
        <v>16184.02</v>
      </c>
      <c r="BF51" s="180" t="str">
        <f t="shared" si="62"/>
        <v>D4A</v>
      </c>
      <c r="BG51" s="181">
        <v>11</v>
      </c>
      <c r="BH51" s="184">
        <v>17184.02</v>
      </c>
      <c r="BI51" s="180" t="str">
        <f t="shared" si="63"/>
        <v>D1B</v>
      </c>
      <c r="BJ51" s="181">
        <v>11</v>
      </c>
      <c r="BK51" s="184">
        <v>14496.19</v>
      </c>
      <c r="BL51" s="180" t="str">
        <f t="shared" si="64"/>
        <v>D2B</v>
      </c>
      <c r="BM51" s="181">
        <v>11</v>
      </c>
      <c r="BN51" s="184">
        <v>15509.3</v>
      </c>
      <c r="BO51" s="180" t="str">
        <f t="shared" si="65"/>
        <v>D3B</v>
      </c>
      <c r="BP51" s="181">
        <v>11</v>
      </c>
      <c r="BQ51" s="184">
        <v>16978.57</v>
      </c>
      <c r="BR51" s="180" t="str">
        <f t="shared" si="66"/>
        <v>D4B</v>
      </c>
      <c r="BS51" s="181">
        <v>11</v>
      </c>
      <c r="BT51" s="184">
        <v>20193.82</v>
      </c>
      <c r="BU51" s="180" t="str">
        <f t="shared" si="67"/>
        <v>D1C</v>
      </c>
      <c r="BV51" s="181">
        <v>11</v>
      </c>
      <c r="BW51" s="184">
        <v>14496.19</v>
      </c>
      <c r="BX51" s="180" t="str">
        <f t="shared" si="68"/>
        <v>D2C</v>
      </c>
      <c r="BY51" s="181">
        <v>11</v>
      </c>
      <c r="BZ51" s="184">
        <v>15336.06</v>
      </c>
      <c r="CA51" s="180" t="str">
        <f t="shared" si="69"/>
        <v>D3C</v>
      </c>
      <c r="CB51" s="181">
        <v>11</v>
      </c>
      <c r="CC51" s="184">
        <v>16978.57</v>
      </c>
      <c r="CD51" s="180" t="str">
        <f t="shared" si="70"/>
        <v>D4C</v>
      </c>
      <c r="CE51" s="181">
        <v>11</v>
      </c>
      <c r="CF51" s="184">
        <v>20193.82</v>
      </c>
    </row>
    <row r="52" spans="1:84" x14ac:dyDescent="0.2">
      <c r="A52" s="180" t="str">
        <f t="shared" si="43"/>
        <v>CC1</v>
      </c>
      <c r="B52" s="181">
        <v>12</v>
      </c>
      <c r="C52" s="184">
        <v>17035.53</v>
      </c>
      <c r="D52" s="180" t="str">
        <f t="shared" si="44"/>
        <v>CC2</v>
      </c>
      <c r="E52" s="181">
        <v>12</v>
      </c>
      <c r="F52" s="184">
        <v>18596.490000000002</v>
      </c>
      <c r="G52" s="180" t="str">
        <f t="shared" si="45"/>
        <v>CC3</v>
      </c>
      <c r="H52" s="181">
        <v>12</v>
      </c>
      <c r="I52" s="184">
        <v>20186.490000000002</v>
      </c>
      <c r="J52" s="180" t="str">
        <f t="shared" si="46"/>
        <v>CC4</v>
      </c>
      <c r="K52" s="181">
        <v>12</v>
      </c>
      <c r="L52" s="184">
        <v>21776.49</v>
      </c>
      <c r="M52" s="180" t="str">
        <f t="shared" si="47"/>
        <v>C1A</v>
      </c>
      <c r="N52" s="181">
        <v>12</v>
      </c>
      <c r="O52" s="184">
        <v>17319.84</v>
      </c>
      <c r="P52" s="180" t="str">
        <f t="shared" si="48"/>
        <v>C2A</v>
      </c>
      <c r="Q52" s="181">
        <v>12</v>
      </c>
      <c r="R52" s="184">
        <v>19019.84</v>
      </c>
      <c r="S52" s="180" t="str">
        <f t="shared" si="49"/>
        <v>C3A</v>
      </c>
      <c r="T52" s="181">
        <v>12</v>
      </c>
      <c r="U52" s="184">
        <v>20342.86</v>
      </c>
      <c r="V52" s="180" t="str">
        <f t="shared" si="50"/>
        <v>C4A</v>
      </c>
      <c r="W52" s="181">
        <v>12</v>
      </c>
      <c r="X52" s="184">
        <v>21932.86</v>
      </c>
      <c r="Y52" s="180" t="str">
        <f t="shared" si="51"/>
        <v>C1D</v>
      </c>
      <c r="Z52" s="181">
        <v>12</v>
      </c>
      <c r="AA52" s="184">
        <v>18769.650000000001</v>
      </c>
      <c r="AB52" s="180" t="str">
        <f t="shared" si="52"/>
        <v>C2D</v>
      </c>
      <c r="AC52" s="181">
        <v>12</v>
      </c>
      <c r="AD52" s="184">
        <v>18844.89</v>
      </c>
      <c r="AE52" s="180" t="str">
        <f t="shared" si="53"/>
        <v>C3D</v>
      </c>
      <c r="AF52" s="181">
        <v>12</v>
      </c>
      <c r="AG52" s="184">
        <v>20930.34</v>
      </c>
      <c r="AH52" s="180" t="str">
        <f t="shared" si="54"/>
        <v>C4D</v>
      </c>
      <c r="AI52" s="181">
        <v>12</v>
      </c>
      <c r="AJ52" s="184">
        <v>21926.35</v>
      </c>
      <c r="AK52" s="180" t="str">
        <f t="shared" si="55"/>
        <v>DD1</v>
      </c>
      <c r="AL52" s="181">
        <v>12</v>
      </c>
      <c r="AM52" s="184">
        <v>13157.24</v>
      </c>
      <c r="AN52" s="180" t="str">
        <f t="shared" si="56"/>
        <v>DD2</v>
      </c>
      <c r="AO52" s="181">
        <v>12</v>
      </c>
      <c r="AP52" s="184">
        <v>14067.24</v>
      </c>
      <c r="AQ52" s="180" t="str">
        <f t="shared" si="57"/>
        <v>DD3</v>
      </c>
      <c r="AR52" s="181">
        <v>12</v>
      </c>
      <c r="AS52" s="184">
        <v>15061.7</v>
      </c>
      <c r="AT52" s="180" t="str">
        <f t="shared" si="58"/>
        <v>DD4</v>
      </c>
      <c r="AU52" s="181">
        <v>12</v>
      </c>
      <c r="AV52" s="184">
        <v>16061.7</v>
      </c>
      <c r="AW52" s="180" t="str">
        <f t="shared" si="59"/>
        <v>D1A</v>
      </c>
      <c r="AX52" s="181">
        <v>12</v>
      </c>
      <c r="AY52" s="184">
        <v>14226.12</v>
      </c>
      <c r="AZ52" s="180" t="str">
        <f t="shared" si="60"/>
        <v>D2A</v>
      </c>
      <c r="BA52" s="181">
        <v>12</v>
      </c>
      <c r="BB52" s="184">
        <v>15281.95</v>
      </c>
      <c r="BC52" s="180" t="str">
        <f t="shared" si="61"/>
        <v>D3A</v>
      </c>
      <c r="BD52" s="181">
        <v>12</v>
      </c>
      <c r="BE52" s="184">
        <v>16238.92</v>
      </c>
      <c r="BF52" s="180" t="str">
        <f t="shared" si="62"/>
        <v>D4A</v>
      </c>
      <c r="BG52" s="181">
        <v>12</v>
      </c>
      <c r="BH52" s="184">
        <v>17238.919999999998</v>
      </c>
      <c r="BI52" s="180" t="str">
        <f t="shared" si="63"/>
        <v>D1B</v>
      </c>
      <c r="BJ52" s="181">
        <v>12</v>
      </c>
      <c r="BK52" s="184">
        <v>14496.19</v>
      </c>
      <c r="BL52" s="180" t="str">
        <f t="shared" si="64"/>
        <v>D2B</v>
      </c>
      <c r="BM52" s="181">
        <v>12</v>
      </c>
      <c r="BN52" s="184">
        <v>15510.97</v>
      </c>
      <c r="BO52" s="180" t="str">
        <f t="shared" si="65"/>
        <v>D3B</v>
      </c>
      <c r="BP52" s="181">
        <v>12</v>
      </c>
      <c r="BQ52" s="184">
        <v>16978.57</v>
      </c>
      <c r="BR52" s="180" t="str">
        <f t="shared" si="66"/>
        <v>D4B</v>
      </c>
      <c r="BS52" s="181">
        <v>12</v>
      </c>
      <c r="BT52" s="184">
        <v>20193.82</v>
      </c>
      <c r="BU52" s="180" t="str">
        <f t="shared" si="67"/>
        <v>D1C</v>
      </c>
      <c r="BV52" s="181">
        <v>12</v>
      </c>
      <c r="BW52" s="184">
        <v>14496.19</v>
      </c>
      <c r="BX52" s="180" t="str">
        <f t="shared" si="68"/>
        <v>D2C</v>
      </c>
      <c r="BY52" s="181">
        <v>12</v>
      </c>
      <c r="BZ52" s="184">
        <v>15390.96</v>
      </c>
      <c r="CA52" s="180" t="str">
        <f t="shared" si="69"/>
        <v>D3C</v>
      </c>
      <c r="CB52" s="181">
        <v>12</v>
      </c>
      <c r="CC52" s="184">
        <v>16978.57</v>
      </c>
      <c r="CD52" s="180" t="str">
        <f t="shared" si="70"/>
        <v>D4C</v>
      </c>
      <c r="CE52" s="181">
        <v>12</v>
      </c>
      <c r="CF52" s="184">
        <v>20193.82</v>
      </c>
    </row>
    <row r="53" spans="1:84" x14ac:dyDescent="0.2">
      <c r="A53" s="180" t="str">
        <f t="shared" si="43"/>
        <v>CC1</v>
      </c>
      <c r="B53" s="181">
        <v>13</v>
      </c>
      <c r="C53" s="184">
        <v>17659.14</v>
      </c>
      <c r="D53" s="180" t="str">
        <f t="shared" si="44"/>
        <v>CC2</v>
      </c>
      <c r="E53" s="181">
        <v>13</v>
      </c>
      <c r="F53" s="184">
        <v>19159.14</v>
      </c>
      <c r="G53" s="180" t="str">
        <f t="shared" si="45"/>
        <v>CC3</v>
      </c>
      <c r="H53" s="181">
        <v>13</v>
      </c>
      <c r="I53" s="184">
        <v>20659.14</v>
      </c>
      <c r="J53" s="180" t="str">
        <f t="shared" si="46"/>
        <v>CC4</v>
      </c>
      <c r="K53" s="181">
        <v>13</v>
      </c>
      <c r="L53" s="184">
        <v>22209.48</v>
      </c>
      <c r="M53" s="180" t="str">
        <f t="shared" si="47"/>
        <v>C1A</v>
      </c>
      <c r="N53" s="181">
        <v>13</v>
      </c>
      <c r="O53" s="184">
        <v>17943.45</v>
      </c>
      <c r="P53" s="180" t="str">
        <f t="shared" si="48"/>
        <v>C2A</v>
      </c>
      <c r="Q53" s="181">
        <v>13</v>
      </c>
      <c r="R53" s="184">
        <v>19643.45</v>
      </c>
      <c r="S53" s="180" t="str">
        <f t="shared" si="49"/>
        <v>C3A</v>
      </c>
      <c r="T53" s="181">
        <v>13</v>
      </c>
      <c r="U53" s="184">
        <v>20943.45</v>
      </c>
      <c r="V53" s="180" t="str">
        <f t="shared" si="50"/>
        <v>C4A</v>
      </c>
      <c r="W53" s="181">
        <v>13</v>
      </c>
      <c r="X53" s="184">
        <v>22443.45</v>
      </c>
      <c r="Y53" s="180" t="str">
        <f t="shared" si="51"/>
        <v>C1D</v>
      </c>
      <c r="Z53" s="181">
        <v>13</v>
      </c>
      <c r="AA53" s="184">
        <v>19304.78</v>
      </c>
      <c r="AB53" s="180" t="str">
        <f t="shared" si="52"/>
        <v>C2D</v>
      </c>
      <c r="AC53" s="181">
        <v>13</v>
      </c>
      <c r="AD53" s="184">
        <v>19468.5</v>
      </c>
      <c r="AE53" s="180" t="str">
        <f t="shared" si="53"/>
        <v>C3D</v>
      </c>
      <c r="AF53" s="181">
        <v>13</v>
      </c>
      <c r="AG53" s="184">
        <v>21553.95</v>
      </c>
      <c r="AH53" s="180" t="str">
        <f t="shared" si="54"/>
        <v>C4D</v>
      </c>
      <c r="AI53" s="181">
        <v>13</v>
      </c>
      <c r="AJ53" s="184">
        <v>22431.61</v>
      </c>
      <c r="AK53" s="180" t="str">
        <f t="shared" si="55"/>
        <v>DD1</v>
      </c>
      <c r="AL53" s="181">
        <v>13</v>
      </c>
      <c r="AM53" s="184">
        <v>13202.02</v>
      </c>
      <c r="AN53" s="180" t="str">
        <f t="shared" si="56"/>
        <v>DD2</v>
      </c>
      <c r="AO53" s="181">
        <v>13</v>
      </c>
      <c r="AP53" s="184">
        <v>14121.04</v>
      </c>
      <c r="AQ53" s="180" t="str">
        <f t="shared" si="57"/>
        <v>DD3</v>
      </c>
      <c r="AR53" s="181">
        <v>13</v>
      </c>
      <c r="AS53" s="184">
        <v>15121.04</v>
      </c>
      <c r="AT53" s="180" t="str">
        <f t="shared" si="58"/>
        <v>DD4</v>
      </c>
      <c r="AU53" s="181">
        <v>13</v>
      </c>
      <c r="AV53" s="184">
        <v>16121.04</v>
      </c>
      <c r="AW53" s="180" t="str">
        <f t="shared" si="59"/>
        <v>D1A</v>
      </c>
      <c r="AX53" s="181">
        <v>13</v>
      </c>
      <c r="AY53" s="184">
        <v>14387.63</v>
      </c>
      <c r="AZ53" s="180" t="str">
        <f t="shared" si="60"/>
        <v>D2A</v>
      </c>
      <c r="BA53" s="181">
        <v>13</v>
      </c>
      <c r="BB53" s="184">
        <v>15453.83</v>
      </c>
      <c r="BC53" s="180" t="str">
        <f t="shared" si="61"/>
        <v>D3A</v>
      </c>
      <c r="BD53" s="181">
        <v>13</v>
      </c>
      <c r="BE53" s="184">
        <v>16485.349999999999</v>
      </c>
      <c r="BF53" s="180" t="str">
        <f t="shared" si="62"/>
        <v>D4A</v>
      </c>
      <c r="BG53" s="181">
        <v>13</v>
      </c>
      <c r="BH53" s="184">
        <v>17485.349999999999</v>
      </c>
      <c r="BI53" s="180" t="str">
        <f t="shared" si="63"/>
        <v>D1B</v>
      </c>
      <c r="BJ53" s="181">
        <v>13</v>
      </c>
      <c r="BK53" s="184">
        <v>14717.46</v>
      </c>
      <c r="BL53" s="180" t="str">
        <f t="shared" si="64"/>
        <v>D2B</v>
      </c>
      <c r="BM53" s="181">
        <v>13</v>
      </c>
      <c r="BN53" s="184">
        <v>15722.8</v>
      </c>
      <c r="BO53" s="180" t="str">
        <f t="shared" si="65"/>
        <v>D3B</v>
      </c>
      <c r="BP53" s="181">
        <v>13</v>
      </c>
      <c r="BQ53" s="184">
        <v>17327.62</v>
      </c>
      <c r="BR53" s="180" t="str">
        <f t="shared" si="66"/>
        <v>D4B</v>
      </c>
      <c r="BS53" s="181">
        <v>13</v>
      </c>
      <c r="BT53" s="184">
        <v>20546.849999999999</v>
      </c>
      <c r="BU53" s="180" t="str">
        <f t="shared" si="67"/>
        <v>D1C</v>
      </c>
      <c r="BV53" s="181">
        <v>13</v>
      </c>
      <c r="BW53" s="184">
        <v>14717.46</v>
      </c>
      <c r="BX53" s="180" t="str">
        <f t="shared" si="68"/>
        <v>D2C</v>
      </c>
      <c r="BY53" s="181">
        <v>13</v>
      </c>
      <c r="BZ53" s="184">
        <v>15598.83</v>
      </c>
      <c r="CA53" s="180" t="str">
        <f t="shared" si="69"/>
        <v>D3C</v>
      </c>
      <c r="CB53" s="181">
        <v>13</v>
      </c>
      <c r="CC53" s="184">
        <v>17327.62</v>
      </c>
      <c r="CD53" s="180" t="str">
        <f t="shared" si="70"/>
        <v>D4C</v>
      </c>
      <c r="CE53" s="181">
        <v>13</v>
      </c>
      <c r="CF53" s="184">
        <v>20546.849999999999</v>
      </c>
    </row>
    <row r="54" spans="1:84" x14ac:dyDescent="0.2">
      <c r="A54" s="180" t="str">
        <f t="shared" si="43"/>
        <v>CC1</v>
      </c>
      <c r="B54" s="181">
        <v>14</v>
      </c>
      <c r="C54" s="184">
        <v>17659.14</v>
      </c>
      <c r="D54" s="180" t="str">
        <f t="shared" si="44"/>
        <v>CC2</v>
      </c>
      <c r="E54" s="181">
        <v>14</v>
      </c>
      <c r="F54" s="184">
        <v>19159.14</v>
      </c>
      <c r="G54" s="180" t="str">
        <f t="shared" si="45"/>
        <v>CC3</v>
      </c>
      <c r="H54" s="181">
        <v>14</v>
      </c>
      <c r="I54" s="184">
        <v>20709.48</v>
      </c>
      <c r="J54" s="180" t="str">
        <f t="shared" si="46"/>
        <v>CC4</v>
      </c>
      <c r="K54" s="181">
        <v>14</v>
      </c>
      <c r="L54" s="184">
        <v>22299.48</v>
      </c>
      <c r="M54" s="180" t="str">
        <f t="shared" si="47"/>
        <v>C1A</v>
      </c>
      <c r="N54" s="181">
        <v>14</v>
      </c>
      <c r="O54" s="184">
        <v>17943.45</v>
      </c>
      <c r="P54" s="180" t="str">
        <f t="shared" si="48"/>
        <v>C2A</v>
      </c>
      <c r="Q54" s="181">
        <v>14</v>
      </c>
      <c r="R54" s="184">
        <v>19643.45</v>
      </c>
      <c r="S54" s="180" t="str">
        <f t="shared" si="49"/>
        <v>C3A</v>
      </c>
      <c r="T54" s="181">
        <v>14</v>
      </c>
      <c r="U54" s="184">
        <v>20943.45</v>
      </c>
      <c r="V54" s="180" t="str">
        <f t="shared" si="50"/>
        <v>C4A</v>
      </c>
      <c r="W54" s="181">
        <v>14</v>
      </c>
      <c r="X54" s="184">
        <v>22455.85</v>
      </c>
      <c r="Y54" s="180" t="str">
        <f t="shared" si="51"/>
        <v>C1D</v>
      </c>
      <c r="Z54" s="181">
        <v>14</v>
      </c>
      <c r="AA54" s="184">
        <v>19304.78</v>
      </c>
      <c r="AB54" s="180" t="str">
        <f t="shared" si="52"/>
        <v>C2D</v>
      </c>
      <c r="AC54" s="181">
        <v>14</v>
      </c>
      <c r="AD54" s="184">
        <v>19468.5</v>
      </c>
      <c r="AE54" s="180" t="str">
        <f t="shared" si="53"/>
        <v>C3D</v>
      </c>
      <c r="AF54" s="181">
        <v>14</v>
      </c>
      <c r="AG54" s="184">
        <v>21553.95</v>
      </c>
      <c r="AH54" s="180" t="str">
        <f t="shared" si="54"/>
        <v>C4D</v>
      </c>
      <c r="AI54" s="181">
        <v>14</v>
      </c>
      <c r="AJ54" s="184">
        <v>22449.34</v>
      </c>
      <c r="AK54" s="180" t="str">
        <f t="shared" si="55"/>
        <v>DD1</v>
      </c>
      <c r="AL54" s="181">
        <v>14</v>
      </c>
      <c r="AM54" s="184">
        <v>13214.17</v>
      </c>
      <c r="AN54" s="180" t="str">
        <f t="shared" si="56"/>
        <v>DD2</v>
      </c>
      <c r="AO54" s="181">
        <v>14</v>
      </c>
      <c r="AP54" s="184">
        <v>14124.17</v>
      </c>
      <c r="AQ54" s="180" t="str">
        <f t="shared" si="57"/>
        <v>DD3</v>
      </c>
      <c r="AR54" s="181">
        <v>14</v>
      </c>
      <c r="AS54" s="184">
        <v>15121.04</v>
      </c>
      <c r="AT54" s="180" t="str">
        <f t="shared" si="58"/>
        <v>DD4</v>
      </c>
      <c r="AU54" s="181">
        <v>14</v>
      </c>
      <c r="AV54" s="184">
        <v>16121.04</v>
      </c>
      <c r="AW54" s="180" t="str">
        <f t="shared" si="59"/>
        <v>D1A</v>
      </c>
      <c r="AX54" s="181">
        <v>14</v>
      </c>
      <c r="AY54" s="184">
        <v>14442.53</v>
      </c>
      <c r="AZ54" s="180" t="str">
        <f t="shared" si="60"/>
        <v>D2A</v>
      </c>
      <c r="BA54" s="181">
        <v>14</v>
      </c>
      <c r="BB54" s="184">
        <v>15508.73</v>
      </c>
      <c r="BC54" s="180" t="str">
        <f t="shared" si="61"/>
        <v>D3A</v>
      </c>
      <c r="BD54" s="181">
        <v>14</v>
      </c>
      <c r="BE54" s="184">
        <v>16540.25</v>
      </c>
      <c r="BF54" s="180" t="str">
        <f t="shared" si="62"/>
        <v>D4A</v>
      </c>
      <c r="BG54" s="181">
        <v>14</v>
      </c>
      <c r="BH54" s="184">
        <v>17540.25</v>
      </c>
      <c r="BI54" s="180" t="str">
        <f t="shared" si="63"/>
        <v>D1B</v>
      </c>
      <c r="BJ54" s="181">
        <v>14</v>
      </c>
      <c r="BK54" s="184">
        <v>14717.46</v>
      </c>
      <c r="BL54" s="180" t="str">
        <f t="shared" si="64"/>
        <v>D2B</v>
      </c>
      <c r="BM54" s="181">
        <v>14</v>
      </c>
      <c r="BN54" s="184">
        <v>15737.74</v>
      </c>
      <c r="BO54" s="180" t="str">
        <f t="shared" si="65"/>
        <v>D3B</v>
      </c>
      <c r="BP54" s="181">
        <v>14</v>
      </c>
      <c r="BQ54" s="184">
        <v>17327.62</v>
      </c>
      <c r="BR54" s="180" t="str">
        <f t="shared" si="66"/>
        <v>D4B</v>
      </c>
      <c r="BS54" s="181">
        <v>14</v>
      </c>
      <c r="BT54" s="184">
        <v>20546.849999999999</v>
      </c>
      <c r="BU54" s="180" t="str">
        <f t="shared" si="67"/>
        <v>D1C</v>
      </c>
      <c r="BV54" s="181">
        <v>14</v>
      </c>
      <c r="BW54" s="184">
        <v>14717.46</v>
      </c>
      <c r="BX54" s="180" t="str">
        <f t="shared" si="68"/>
        <v>D2C</v>
      </c>
      <c r="BY54" s="181">
        <v>14</v>
      </c>
      <c r="BZ54" s="184">
        <v>15653.73</v>
      </c>
      <c r="CA54" s="180" t="str">
        <f t="shared" si="69"/>
        <v>D3C</v>
      </c>
      <c r="CB54" s="181">
        <v>14</v>
      </c>
      <c r="CC54" s="184">
        <v>17327.62</v>
      </c>
      <c r="CD54" s="180" t="str">
        <f t="shared" si="70"/>
        <v>D4C</v>
      </c>
      <c r="CE54" s="181">
        <v>14</v>
      </c>
      <c r="CF54" s="184">
        <v>20546.849999999999</v>
      </c>
    </row>
    <row r="55" spans="1:84" x14ac:dyDescent="0.2">
      <c r="A55" s="180" t="str">
        <f t="shared" si="43"/>
        <v>CC1</v>
      </c>
      <c r="B55" s="181">
        <v>15</v>
      </c>
      <c r="C55" s="184">
        <v>18282.75</v>
      </c>
      <c r="D55" s="180" t="str">
        <f t="shared" si="44"/>
        <v>CC2</v>
      </c>
      <c r="E55" s="181">
        <v>15</v>
      </c>
      <c r="F55" s="184">
        <v>19782.75</v>
      </c>
      <c r="G55" s="180" t="str">
        <f t="shared" si="45"/>
        <v>CC3</v>
      </c>
      <c r="H55" s="181">
        <v>15</v>
      </c>
      <c r="I55" s="184">
        <v>21282.75</v>
      </c>
      <c r="J55" s="180" t="str">
        <f t="shared" si="46"/>
        <v>CC4</v>
      </c>
      <c r="K55" s="181">
        <v>15</v>
      </c>
      <c r="L55" s="184">
        <v>22782.75</v>
      </c>
      <c r="M55" s="180" t="str">
        <f t="shared" si="47"/>
        <v>C1A</v>
      </c>
      <c r="N55" s="181">
        <v>15</v>
      </c>
      <c r="O55" s="184">
        <v>18567.060000000001</v>
      </c>
      <c r="P55" s="180" t="str">
        <f t="shared" si="48"/>
        <v>C2A</v>
      </c>
      <c r="Q55" s="181">
        <v>15</v>
      </c>
      <c r="R55" s="184">
        <v>20267.060000000001</v>
      </c>
      <c r="S55" s="180" t="str">
        <f t="shared" si="49"/>
        <v>C3A</v>
      </c>
      <c r="T55" s="181">
        <v>15</v>
      </c>
      <c r="U55" s="184">
        <v>21567.06</v>
      </c>
      <c r="V55" s="180" t="str">
        <f t="shared" si="50"/>
        <v>C4A</v>
      </c>
      <c r="W55" s="181">
        <v>15</v>
      </c>
      <c r="X55" s="184">
        <v>23067.06</v>
      </c>
      <c r="Y55" s="180" t="str">
        <f t="shared" si="51"/>
        <v>C1D</v>
      </c>
      <c r="Z55" s="181">
        <v>15</v>
      </c>
      <c r="AA55" s="184">
        <v>19839.91</v>
      </c>
      <c r="AB55" s="180" t="str">
        <f t="shared" si="52"/>
        <v>C2D</v>
      </c>
      <c r="AC55" s="181">
        <v>15</v>
      </c>
      <c r="AD55" s="184">
        <v>20092.11</v>
      </c>
      <c r="AE55" s="180" t="str">
        <f t="shared" si="53"/>
        <v>C3D</v>
      </c>
      <c r="AF55" s="181">
        <v>15</v>
      </c>
      <c r="AG55" s="184">
        <v>22177.56</v>
      </c>
      <c r="AH55" s="180" t="str">
        <f t="shared" si="54"/>
        <v>C4D</v>
      </c>
      <c r="AI55" s="181">
        <v>15</v>
      </c>
      <c r="AJ55" s="184">
        <v>23055.22</v>
      </c>
      <c r="AK55" s="180" t="str">
        <f t="shared" si="55"/>
        <v>DD1</v>
      </c>
      <c r="AL55" s="181">
        <v>15</v>
      </c>
      <c r="AM55" s="184">
        <v>13258.96</v>
      </c>
      <c r="AN55" s="180" t="str">
        <f t="shared" si="56"/>
        <v>DD2</v>
      </c>
      <c r="AO55" s="181">
        <v>15</v>
      </c>
      <c r="AP55" s="184">
        <v>14180.38</v>
      </c>
      <c r="AQ55" s="180" t="str">
        <f t="shared" si="57"/>
        <v>DD3</v>
      </c>
      <c r="AR55" s="181">
        <v>15</v>
      </c>
      <c r="AS55" s="184">
        <v>15180.38</v>
      </c>
      <c r="AT55" s="180" t="str">
        <f t="shared" si="58"/>
        <v>DD4</v>
      </c>
      <c r="AU55" s="181">
        <v>15</v>
      </c>
      <c r="AV55" s="184">
        <v>16180.38</v>
      </c>
      <c r="AW55" s="180" t="str">
        <f t="shared" si="59"/>
        <v>D1A</v>
      </c>
      <c r="AX55" s="181">
        <v>15</v>
      </c>
      <c r="AY55" s="184">
        <v>14675.69</v>
      </c>
      <c r="AZ55" s="180" t="str">
        <f t="shared" si="60"/>
        <v>D2A</v>
      </c>
      <c r="BA55" s="181">
        <v>15</v>
      </c>
      <c r="BB55" s="184">
        <v>15755.6</v>
      </c>
      <c r="BC55" s="180" t="str">
        <f t="shared" si="61"/>
        <v>D3A</v>
      </c>
      <c r="BD55" s="181">
        <v>15</v>
      </c>
      <c r="BE55" s="184">
        <v>16787.13</v>
      </c>
      <c r="BF55" s="180" t="str">
        <f t="shared" si="62"/>
        <v>D4A</v>
      </c>
      <c r="BG55" s="181">
        <v>15</v>
      </c>
      <c r="BH55" s="184">
        <v>17787.13</v>
      </c>
      <c r="BI55" s="180" t="str">
        <f t="shared" si="63"/>
        <v>D1B</v>
      </c>
      <c r="BJ55" s="181">
        <v>15</v>
      </c>
      <c r="BK55" s="184">
        <v>15066.51</v>
      </c>
      <c r="BL55" s="180" t="str">
        <f t="shared" si="64"/>
        <v>D2B</v>
      </c>
      <c r="BM55" s="181">
        <v>15</v>
      </c>
      <c r="BN55" s="184">
        <v>16071.85</v>
      </c>
      <c r="BO55" s="180" t="str">
        <f t="shared" si="65"/>
        <v>D3B</v>
      </c>
      <c r="BP55" s="181">
        <v>15</v>
      </c>
      <c r="BQ55" s="184">
        <v>17676.669999999998</v>
      </c>
      <c r="BR55" s="180" t="str">
        <f t="shared" si="66"/>
        <v>D4B</v>
      </c>
      <c r="BS55" s="181">
        <v>15</v>
      </c>
      <c r="BT55" s="184">
        <v>20899.88</v>
      </c>
      <c r="BU55" s="180" t="str">
        <f t="shared" si="67"/>
        <v>D1C</v>
      </c>
      <c r="BV55" s="181">
        <v>15</v>
      </c>
      <c r="BW55" s="184">
        <v>15066.51</v>
      </c>
      <c r="BX55" s="180" t="str">
        <f t="shared" si="68"/>
        <v>D2C</v>
      </c>
      <c r="BY55" s="181">
        <v>15</v>
      </c>
      <c r="BZ55" s="184">
        <v>15919.1</v>
      </c>
      <c r="CA55" s="180" t="str">
        <f t="shared" si="69"/>
        <v>D3C</v>
      </c>
      <c r="CB55" s="181">
        <v>15</v>
      </c>
      <c r="CC55" s="184">
        <v>17676.669999999998</v>
      </c>
      <c r="CD55" s="180" t="str">
        <f t="shared" si="70"/>
        <v>D4C</v>
      </c>
      <c r="CE55" s="181">
        <v>15</v>
      </c>
      <c r="CF55" s="184">
        <v>20899.88</v>
      </c>
    </row>
    <row r="56" spans="1:84" x14ac:dyDescent="0.2">
      <c r="A56" s="180" t="str">
        <f t="shared" si="43"/>
        <v>CC1</v>
      </c>
      <c r="B56" s="181">
        <v>16</v>
      </c>
      <c r="C56" s="184">
        <v>18282.75</v>
      </c>
      <c r="D56" s="180" t="str">
        <f t="shared" si="44"/>
        <v>CC2</v>
      </c>
      <c r="E56" s="181">
        <v>16</v>
      </c>
      <c r="F56" s="184">
        <v>19782.75</v>
      </c>
      <c r="G56" s="180" t="str">
        <f t="shared" si="45"/>
        <v>CC3</v>
      </c>
      <c r="H56" s="181">
        <v>16</v>
      </c>
      <c r="I56" s="184">
        <v>21282.75</v>
      </c>
      <c r="J56" s="180" t="str">
        <f t="shared" si="46"/>
        <v>CC4</v>
      </c>
      <c r="K56" s="181">
        <v>16</v>
      </c>
      <c r="L56" s="184">
        <v>22822.01</v>
      </c>
      <c r="M56" s="180" t="str">
        <f t="shared" si="47"/>
        <v>C1A</v>
      </c>
      <c r="N56" s="181">
        <v>16</v>
      </c>
      <c r="O56" s="184">
        <v>18567.060000000001</v>
      </c>
      <c r="P56" s="180" t="str">
        <f t="shared" si="48"/>
        <v>C2A</v>
      </c>
      <c r="Q56" s="181">
        <v>16</v>
      </c>
      <c r="R56" s="184">
        <v>20267.060000000001</v>
      </c>
      <c r="S56" s="180" t="str">
        <f t="shared" si="49"/>
        <v>C3A</v>
      </c>
      <c r="T56" s="181">
        <v>16</v>
      </c>
      <c r="U56" s="184">
        <v>21567.06</v>
      </c>
      <c r="V56" s="180" t="str">
        <f t="shared" si="50"/>
        <v>C4A</v>
      </c>
      <c r="W56" s="181">
        <v>16</v>
      </c>
      <c r="X56" s="184">
        <v>23067.06</v>
      </c>
      <c r="Y56" s="180" t="str">
        <f t="shared" si="51"/>
        <v>C1D</v>
      </c>
      <c r="Z56" s="181">
        <v>16</v>
      </c>
      <c r="AA56" s="184">
        <v>19839.91</v>
      </c>
      <c r="AB56" s="180" t="str">
        <f t="shared" si="52"/>
        <v>C2D</v>
      </c>
      <c r="AC56" s="181">
        <v>16</v>
      </c>
      <c r="AD56" s="184">
        <v>20092.11</v>
      </c>
      <c r="AE56" s="180" t="str">
        <f t="shared" si="53"/>
        <v>C3D</v>
      </c>
      <c r="AF56" s="181">
        <v>16</v>
      </c>
      <c r="AG56" s="184">
        <v>22177.56</v>
      </c>
      <c r="AH56" s="180" t="str">
        <f t="shared" si="54"/>
        <v>C4D</v>
      </c>
      <c r="AI56" s="181">
        <v>16</v>
      </c>
      <c r="AJ56" s="184">
        <v>23055.22</v>
      </c>
      <c r="AK56" s="180" t="str">
        <f t="shared" si="55"/>
        <v>DD1</v>
      </c>
      <c r="AL56" s="181">
        <v>16</v>
      </c>
      <c r="AM56" s="184">
        <v>13271.11</v>
      </c>
      <c r="AN56" s="180" t="str">
        <f t="shared" si="56"/>
        <v>DD2</v>
      </c>
      <c r="AO56" s="181">
        <v>16</v>
      </c>
      <c r="AP56" s="184">
        <v>14181.11</v>
      </c>
      <c r="AQ56" s="180" t="str">
        <f t="shared" si="57"/>
        <v>DD3</v>
      </c>
      <c r="AR56" s="181">
        <v>16</v>
      </c>
      <c r="AS56" s="184">
        <v>15180.38</v>
      </c>
      <c r="AT56" s="180" t="str">
        <f t="shared" si="58"/>
        <v>DD4</v>
      </c>
      <c r="AU56" s="181">
        <v>16</v>
      </c>
      <c r="AV56" s="184">
        <v>16180.38</v>
      </c>
      <c r="AW56" s="180" t="str">
        <f t="shared" si="59"/>
        <v>D1A</v>
      </c>
      <c r="AX56" s="181">
        <v>16</v>
      </c>
      <c r="AY56" s="184">
        <v>14730.59</v>
      </c>
      <c r="AZ56" s="180" t="str">
        <f t="shared" si="60"/>
        <v>D2A</v>
      </c>
      <c r="BA56" s="181">
        <v>16</v>
      </c>
      <c r="BB56" s="184">
        <v>15810.5</v>
      </c>
      <c r="BC56" s="180" t="str">
        <f t="shared" si="61"/>
        <v>D3A</v>
      </c>
      <c r="BD56" s="181">
        <v>16</v>
      </c>
      <c r="BE56" s="184">
        <v>16842.03</v>
      </c>
      <c r="BF56" s="180" t="str">
        <f t="shared" si="62"/>
        <v>D4A</v>
      </c>
      <c r="BG56" s="181">
        <v>16</v>
      </c>
      <c r="BH56" s="184">
        <v>17842.03</v>
      </c>
      <c r="BI56" s="180" t="str">
        <f t="shared" si="63"/>
        <v>D1B</v>
      </c>
      <c r="BJ56" s="181">
        <v>16</v>
      </c>
      <c r="BK56" s="184">
        <v>15066.51</v>
      </c>
      <c r="BL56" s="180" t="str">
        <f t="shared" si="64"/>
        <v>D2B</v>
      </c>
      <c r="BM56" s="181">
        <v>16</v>
      </c>
      <c r="BN56" s="184">
        <v>16071.85</v>
      </c>
      <c r="BO56" s="180" t="str">
        <f t="shared" si="65"/>
        <v>D3B</v>
      </c>
      <c r="BP56" s="181">
        <v>16</v>
      </c>
      <c r="BQ56" s="184">
        <v>17676.669999999998</v>
      </c>
      <c r="BR56" s="180" t="str">
        <f t="shared" si="66"/>
        <v>D4B</v>
      </c>
      <c r="BS56" s="181">
        <v>16</v>
      </c>
      <c r="BT56" s="184">
        <v>20899.88</v>
      </c>
      <c r="BU56" s="180" t="str">
        <f t="shared" si="67"/>
        <v>D1C</v>
      </c>
      <c r="BV56" s="181">
        <v>16</v>
      </c>
      <c r="BW56" s="184">
        <v>15066.51</v>
      </c>
      <c r="BX56" s="180" t="str">
        <f t="shared" si="68"/>
        <v>D2C</v>
      </c>
      <c r="BY56" s="181">
        <v>16</v>
      </c>
      <c r="BZ56" s="184">
        <v>15955.51</v>
      </c>
      <c r="CA56" s="180" t="str">
        <f t="shared" si="69"/>
        <v>D3C</v>
      </c>
      <c r="CB56" s="181">
        <v>16</v>
      </c>
      <c r="CC56" s="184">
        <v>17676.669999999998</v>
      </c>
      <c r="CD56" s="180" t="str">
        <f t="shared" si="70"/>
        <v>D4C</v>
      </c>
      <c r="CE56" s="181">
        <v>16</v>
      </c>
      <c r="CF56" s="184">
        <v>20899.88</v>
      </c>
    </row>
    <row r="57" spans="1:84" x14ac:dyDescent="0.2">
      <c r="A57" s="180" t="str">
        <f t="shared" si="43"/>
        <v>CC1</v>
      </c>
      <c r="B57" s="181">
        <v>17</v>
      </c>
      <c r="C57" s="184">
        <v>18906.36</v>
      </c>
      <c r="D57" s="180" t="str">
        <f t="shared" si="44"/>
        <v>CC2</v>
      </c>
      <c r="E57" s="181">
        <v>17</v>
      </c>
      <c r="F57" s="184">
        <v>20406.36</v>
      </c>
      <c r="G57" s="180" t="str">
        <f t="shared" si="45"/>
        <v>CC3</v>
      </c>
      <c r="H57" s="181">
        <v>17</v>
      </c>
      <c r="I57" s="184">
        <v>21906.36</v>
      </c>
      <c r="J57" s="180" t="str">
        <f t="shared" si="46"/>
        <v>CC4</v>
      </c>
      <c r="K57" s="181">
        <v>17</v>
      </c>
      <c r="L57" s="184">
        <v>23406.36</v>
      </c>
      <c r="M57" s="180" t="str">
        <f t="shared" si="47"/>
        <v>C1A</v>
      </c>
      <c r="N57" s="181">
        <v>17</v>
      </c>
      <c r="O57" s="184">
        <v>19190.669999999998</v>
      </c>
      <c r="P57" s="180" t="str">
        <f t="shared" si="48"/>
        <v>C2A</v>
      </c>
      <c r="Q57" s="181">
        <v>17</v>
      </c>
      <c r="R57" s="184">
        <v>20690.669999999998</v>
      </c>
      <c r="S57" s="180" t="str">
        <f t="shared" si="49"/>
        <v>C3A</v>
      </c>
      <c r="T57" s="181">
        <v>17</v>
      </c>
      <c r="U57" s="184">
        <v>22190.67</v>
      </c>
      <c r="V57" s="180" t="str">
        <f t="shared" si="50"/>
        <v>C4A</v>
      </c>
      <c r="W57" s="181">
        <v>17</v>
      </c>
      <c r="X57" s="184">
        <v>23690.67</v>
      </c>
      <c r="Y57" s="180" t="str">
        <f t="shared" si="51"/>
        <v>C1D</v>
      </c>
      <c r="Z57" s="181">
        <v>17</v>
      </c>
      <c r="AA57" s="184">
        <v>20375.04</v>
      </c>
      <c r="AB57" s="180" t="str">
        <f t="shared" si="52"/>
        <v>C2D</v>
      </c>
      <c r="AC57" s="181">
        <v>17</v>
      </c>
      <c r="AD57" s="184">
        <v>20715.72</v>
      </c>
      <c r="AE57" s="180" t="str">
        <f t="shared" si="53"/>
        <v>C3D</v>
      </c>
      <c r="AF57" s="181">
        <v>17</v>
      </c>
      <c r="AG57" s="184">
        <v>22801.17</v>
      </c>
      <c r="AH57" s="180" t="str">
        <f t="shared" si="54"/>
        <v>C4D</v>
      </c>
      <c r="AI57" s="181">
        <v>17</v>
      </c>
      <c r="AJ57" s="184">
        <v>23678.83</v>
      </c>
      <c r="AK57" s="180" t="str">
        <f t="shared" si="55"/>
        <v>DD1</v>
      </c>
      <c r="AL57" s="181">
        <v>17</v>
      </c>
      <c r="AM57" s="184">
        <v>13315.9</v>
      </c>
      <c r="AN57" s="180" t="str">
        <f t="shared" si="56"/>
        <v>DD2</v>
      </c>
      <c r="AO57" s="181">
        <v>17</v>
      </c>
      <c r="AP57" s="184">
        <v>14239.72</v>
      </c>
      <c r="AQ57" s="180" t="str">
        <f t="shared" si="57"/>
        <v>DD3</v>
      </c>
      <c r="AR57" s="181">
        <v>17</v>
      </c>
      <c r="AS57" s="184">
        <v>15239.72</v>
      </c>
      <c r="AT57" s="180" t="str">
        <f t="shared" si="58"/>
        <v>DD4</v>
      </c>
      <c r="AU57" s="181">
        <v>17</v>
      </c>
      <c r="AV57" s="184">
        <v>16239.72</v>
      </c>
      <c r="AW57" s="180" t="str">
        <f t="shared" si="59"/>
        <v>D1A</v>
      </c>
      <c r="AX57" s="181">
        <v>17</v>
      </c>
      <c r="AY57" s="184">
        <v>14963.31</v>
      </c>
      <c r="AZ57" s="180" t="str">
        <f t="shared" si="60"/>
        <v>D2A</v>
      </c>
      <c r="BA57" s="181">
        <v>17</v>
      </c>
      <c r="BB57" s="184">
        <v>16056.93</v>
      </c>
      <c r="BC57" s="180" t="str">
        <f t="shared" si="61"/>
        <v>D3A</v>
      </c>
      <c r="BD57" s="181">
        <v>17</v>
      </c>
      <c r="BE57" s="184">
        <v>17088.46</v>
      </c>
      <c r="BF57" s="180" t="str">
        <f t="shared" si="62"/>
        <v>D4A</v>
      </c>
      <c r="BG57" s="181">
        <v>17</v>
      </c>
      <c r="BH57" s="184">
        <v>18088.46</v>
      </c>
      <c r="BI57" s="180" t="str">
        <f t="shared" si="63"/>
        <v>D1B</v>
      </c>
      <c r="BJ57" s="181">
        <v>17</v>
      </c>
      <c r="BK57" s="184">
        <v>15415.56</v>
      </c>
      <c r="BL57" s="180" t="str">
        <f t="shared" si="64"/>
        <v>D2B</v>
      </c>
      <c r="BM57" s="181">
        <v>17</v>
      </c>
      <c r="BN57" s="184">
        <v>16420.900000000001</v>
      </c>
      <c r="BO57" s="180" t="str">
        <f t="shared" si="65"/>
        <v>D3B</v>
      </c>
      <c r="BP57" s="181">
        <v>17</v>
      </c>
      <c r="BQ57" s="184">
        <v>18025.72</v>
      </c>
      <c r="BR57" s="180" t="str">
        <f t="shared" si="66"/>
        <v>D4B</v>
      </c>
      <c r="BS57" s="181">
        <v>17</v>
      </c>
      <c r="BT57" s="184">
        <v>21252.91</v>
      </c>
      <c r="BU57" s="180" t="str">
        <f t="shared" si="67"/>
        <v>D1C</v>
      </c>
      <c r="BV57" s="181">
        <v>17</v>
      </c>
      <c r="BW57" s="184">
        <v>15415.56</v>
      </c>
      <c r="BX57" s="180" t="str">
        <f t="shared" si="68"/>
        <v>D2C</v>
      </c>
      <c r="BY57" s="181">
        <v>17</v>
      </c>
      <c r="BZ57" s="184">
        <v>16268.15</v>
      </c>
      <c r="CA57" s="180" t="str">
        <f t="shared" si="69"/>
        <v>D3C</v>
      </c>
      <c r="CB57" s="181">
        <v>17</v>
      </c>
      <c r="CC57" s="184">
        <v>18025.72</v>
      </c>
      <c r="CD57" s="180" t="str">
        <f t="shared" si="70"/>
        <v>D4C</v>
      </c>
      <c r="CE57" s="181">
        <v>17</v>
      </c>
      <c r="CF57" s="184">
        <v>21252.91</v>
      </c>
    </row>
    <row r="58" spans="1:84" x14ac:dyDescent="0.2">
      <c r="A58" s="180" t="str">
        <f t="shared" si="43"/>
        <v>CC1</v>
      </c>
      <c r="B58" s="181">
        <v>18</v>
      </c>
      <c r="C58" s="184">
        <v>18906.36</v>
      </c>
      <c r="D58" s="180" t="str">
        <f t="shared" si="44"/>
        <v>CC2</v>
      </c>
      <c r="E58" s="181">
        <v>18</v>
      </c>
      <c r="F58" s="184">
        <v>20406.36</v>
      </c>
      <c r="G58" s="180" t="str">
        <f t="shared" si="45"/>
        <v>CC3</v>
      </c>
      <c r="H58" s="181">
        <v>18</v>
      </c>
      <c r="I58" s="184">
        <v>21906.36</v>
      </c>
      <c r="J58" s="180" t="str">
        <f t="shared" si="46"/>
        <v>CC4</v>
      </c>
      <c r="K58" s="181">
        <v>18</v>
      </c>
      <c r="L58" s="184">
        <v>23406.36</v>
      </c>
      <c r="M58" s="180" t="str">
        <f t="shared" si="47"/>
        <v>C1A</v>
      </c>
      <c r="N58" s="181">
        <v>18</v>
      </c>
      <c r="O58" s="184">
        <v>19190.669999999998</v>
      </c>
      <c r="P58" s="180" t="str">
        <f t="shared" si="48"/>
        <v>C2A</v>
      </c>
      <c r="Q58" s="181">
        <v>18</v>
      </c>
      <c r="R58" s="184">
        <v>20690.669999999998</v>
      </c>
      <c r="S58" s="180" t="str">
        <f t="shared" si="49"/>
        <v>C3A</v>
      </c>
      <c r="T58" s="181">
        <v>18</v>
      </c>
      <c r="U58" s="184">
        <v>22190.67</v>
      </c>
      <c r="V58" s="180" t="str">
        <f t="shared" si="50"/>
        <v>C4A</v>
      </c>
      <c r="W58" s="181">
        <v>18</v>
      </c>
      <c r="X58" s="184">
        <v>23690.67</v>
      </c>
      <c r="Y58" s="180" t="str">
        <f t="shared" si="51"/>
        <v>C1D</v>
      </c>
      <c r="Z58" s="181">
        <v>18</v>
      </c>
      <c r="AA58" s="184">
        <v>20375.04</v>
      </c>
      <c r="AB58" s="180" t="str">
        <f t="shared" si="52"/>
        <v>C2D</v>
      </c>
      <c r="AC58" s="181">
        <v>18</v>
      </c>
      <c r="AD58" s="184">
        <v>20715.72</v>
      </c>
      <c r="AE58" s="180" t="str">
        <f t="shared" si="53"/>
        <v>C3D</v>
      </c>
      <c r="AF58" s="181">
        <v>18</v>
      </c>
      <c r="AG58" s="184">
        <v>22801.17</v>
      </c>
      <c r="AH58" s="180" t="str">
        <f t="shared" si="54"/>
        <v>C4D</v>
      </c>
      <c r="AI58" s="181">
        <v>18</v>
      </c>
      <c r="AJ58" s="184">
        <v>23678.83</v>
      </c>
      <c r="AK58" s="180" t="str">
        <f t="shared" si="55"/>
        <v>DD1</v>
      </c>
      <c r="AL58" s="181">
        <v>18</v>
      </c>
      <c r="AM58" s="184">
        <v>13328.05</v>
      </c>
      <c r="AN58" s="180" t="str">
        <f t="shared" si="56"/>
        <v>DD2</v>
      </c>
      <c r="AO58" s="181">
        <v>18</v>
      </c>
      <c r="AP58" s="184">
        <v>14239.72</v>
      </c>
      <c r="AQ58" s="180" t="str">
        <f t="shared" si="57"/>
        <v>DD3</v>
      </c>
      <c r="AR58" s="181">
        <v>18</v>
      </c>
      <c r="AS58" s="184">
        <v>15239.72</v>
      </c>
      <c r="AT58" s="180" t="str">
        <f t="shared" si="58"/>
        <v>DD4</v>
      </c>
      <c r="AU58" s="181">
        <v>18</v>
      </c>
      <c r="AV58" s="184">
        <v>16239.72</v>
      </c>
      <c r="AW58" s="180" t="str">
        <f t="shared" si="59"/>
        <v>D1A</v>
      </c>
      <c r="AX58" s="181">
        <v>18</v>
      </c>
      <c r="AY58" s="184">
        <v>15018.21</v>
      </c>
      <c r="AZ58" s="180" t="str">
        <f t="shared" si="60"/>
        <v>D2A</v>
      </c>
      <c r="BA58" s="181">
        <v>18</v>
      </c>
      <c r="BB58" s="184">
        <v>16111.83</v>
      </c>
      <c r="BC58" s="180" t="str">
        <f t="shared" si="61"/>
        <v>D3A</v>
      </c>
      <c r="BD58" s="181">
        <v>18</v>
      </c>
      <c r="BE58" s="184">
        <v>17143.36</v>
      </c>
      <c r="BF58" s="180" t="str">
        <f t="shared" si="62"/>
        <v>D4A</v>
      </c>
      <c r="BG58" s="181">
        <v>18</v>
      </c>
      <c r="BH58" s="184">
        <v>18143.36</v>
      </c>
      <c r="BI58" s="180" t="str">
        <f t="shared" si="63"/>
        <v>D1B</v>
      </c>
      <c r="BJ58" s="181">
        <v>18</v>
      </c>
      <c r="BK58" s="184">
        <v>15415.56</v>
      </c>
      <c r="BL58" s="180" t="str">
        <f t="shared" si="64"/>
        <v>D2B</v>
      </c>
      <c r="BM58" s="181">
        <v>18</v>
      </c>
      <c r="BN58" s="184">
        <v>16420.900000000001</v>
      </c>
      <c r="BO58" s="180" t="str">
        <f t="shared" si="65"/>
        <v>D3B</v>
      </c>
      <c r="BP58" s="181">
        <v>18</v>
      </c>
      <c r="BQ58" s="184">
        <v>18025.72</v>
      </c>
      <c r="BR58" s="180" t="str">
        <f t="shared" si="66"/>
        <v>D4B</v>
      </c>
      <c r="BS58" s="181">
        <v>18</v>
      </c>
      <c r="BT58" s="184">
        <v>21252.91</v>
      </c>
      <c r="BU58" s="180" t="str">
        <f t="shared" si="67"/>
        <v>D1C</v>
      </c>
      <c r="BV58" s="181">
        <v>18</v>
      </c>
      <c r="BW58" s="184">
        <v>15415.56</v>
      </c>
      <c r="BX58" s="180" t="str">
        <f t="shared" si="68"/>
        <v>D2C</v>
      </c>
      <c r="BY58" s="181">
        <v>18</v>
      </c>
      <c r="BZ58" s="184">
        <v>16268.15</v>
      </c>
      <c r="CA58" s="180" t="str">
        <f t="shared" si="69"/>
        <v>D3C</v>
      </c>
      <c r="CB58" s="181">
        <v>18</v>
      </c>
      <c r="CC58" s="184">
        <v>18025.72</v>
      </c>
      <c r="CD58" s="180" t="str">
        <f t="shared" si="70"/>
        <v>D4C</v>
      </c>
      <c r="CE58" s="181">
        <v>18</v>
      </c>
      <c r="CF58" s="184">
        <v>21252.91</v>
      </c>
    </row>
    <row r="59" spans="1:84" x14ac:dyDescent="0.2">
      <c r="A59" s="180" t="str">
        <f t="shared" si="43"/>
        <v>CC1</v>
      </c>
      <c r="B59" s="181">
        <v>19</v>
      </c>
      <c r="C59" s="184">
        <v>19529.97</v>
      </c>
      <c r="D59" s="180" t="str">
        <f t="shared" si="44"/>
        <v>CC2</v>
      </c>
      <c r="E59" s="181">
        <v>19</v>
      </c>
      <c r="F59" s="184">
        <v>21029.97</v>
      </c>
      <c r="G59" s="180" t="str">
        <f t="shared" si="45"/>
        <v>CC3</v>
      </c>
      <c r="H59" s="181">
        <v>19</v>
      </c>
      <c r="I59" s="184">
        <v>22529.97</v>
      </c>
      <c r="J59" s="180" t="str">
        <f t="shared" si="46"/>
        <v>CC4</v>
      </c>
      <c r="K59" s="181">
        <v>19</v>
      </c>
      <c r="L59" s="184">
        <v>24029.97</v>
      </c>
      <c r="M59" s="180" t="str">
        <f t="shared" si="47"/>
        <v>C1A</v>
      </c>
      <c r="N59" s="181">
        <v>19</v>
      </c>
      <c r="O59" s="184">
        <v>19814.28</v>
      </c>
      <c r="P59" s="180" t="str">
        <f t="shared" si="48"/>
        <v>C2A</v>
      </c>
      <c r="Q59" s="181">
        <v>19</v>
      </c>
      <c r="R59" s="184">
        <v>21314.28</v>
      </c>
      <c r="S59" s="180" t="str">
        <f t="shared" si="49"/>
        <v>C3A</v>
      </c>
      <c r="T59" s="181">
        <v>19</v>
      </c>
      <c r="U59" s="184">
        <v>22814.28</v>
      </c>
      <c r="V59" s="180" t="str">
        <f t="shared" si="50"/>
        <v>C4A</v>
      </c>
      <c r="W59" s="181">
        <v>19</v>
      </c>
      <c r="X59" s="184">
        <v>24314.28</v>
      </c>
      <c r="Y59" s="180" t="str">
        <f t="shared" si="51"/>
        <v>C1D</v>
      </c>
      <c r="Z59" s="181">
        <v>19</v>
      </c>
      <c r="AA59" s="184">
        <v>20910.169999999998</v>
      </c>
      <c r="AB59" s="180" t="str">
        <f t="shared" si="52"/>
        <v>C2D</v>
      </c>
      <c r="AC59" s="181">
        <v>19</v>
      </c>
      <c r="AD59" s="184">
        <v>21339.33</v>
      </c>
      <c r="AE59" s="180" t="str">
        <f t="shared" si="53"/>
        <v>C3D</v>
      </c>
      <c r="AF59" s="181">
        <v>19</v>
      </c>
      <c r="AG59" s="184">
        <v>23424.78</v>
      </c>
      <c r="AH59" s="180" t="str">
        <f t="shared" si="54"/>
        <v>C4D</v>
      </c>
      <c r="AI59" s="181">
        <v>19</v>
      </c>
      <c r="AJ59" s="184">
        <v>24302.44</v>
      </c>
      <c r="AK59" s="180" t="str">
        <f t="shared" si="55"/>
        <v>DD1</v>
      </c>
      <c r="AL59" s="181">
        <v>19</v>
      </c>
      <c r="AM59" s="184">
        <v>13372.83</v>
      </c>
      <c r="AN59" s="180" t="str">
        <f t="shared" si="56"/>
        <v>DD2</v>
      </c>
      <c r="AO59" s="181">
        <v>19</v>
      </c>
      <c r="AP59" s="184">
        <v>14299.06</v>
      </c>
      <c r="AQ59" s="180" t="str">
        <f t="shared" si="57"/>
        <v>DD3</v>
      </c>
      <c r="AR59" s="181">
        <v>19</v>
      </c>
      <c r="AS59" s="184">
        <v>15299.06</v>
      </c>
      <c r="AT59" s="180" t="str">
        <f t="shared" si="58"/>
        <v>DD4</v>
      </c>
      <c r="AU59" s="181">
        <v>19</v>
      </c>
      <c r="AV59" s="184">
        <v>16299.06</v>
      </c>
      <c r="AW59" s="180" t="str">
        <f t="shared" si="59"/>
        <v>D1A</v>
      </c>
      <c r="AX59" s="181">
        <v>19</v>
      </c>
      <c r="AY59" s="184">
        <v>15251.37</v>
      </c>
      <c r="AZ59" s="180" t="str">
        <f t="shared" si="60"/>
        <v>D2A</v>
      </c>
      <c r="BA59" s="181">
        <v>19</v>
      </c>
      <c r="BB59" s="184">
        <v>16358.71</v>
      </c>
      <c r="BC59" s="180" t="str">
        <f t="shared" si="61"/>
        <v>D3A</v>
      </c>
      <c r="BD59" s="181">
        <v>19</v>
      </c>
      <c r="BE59" s="184">
        <v>17410.88</v>
      </c>
      <c r="BF59" s="180" t="str">
        <f t="shared" si="62"/>
        <v>D4A</v>
      </c>
      <c r="BG59" s="181">
        <v>19</v>
      </c>
      <c r="BH59" s="184">
        <v>18410.88</v>
      </c>
      <c r="BI59" s="180" t="str">
        <f t="shared" si="63"/>
        <v>D1B</v>
      </c>
      <c r="BJ59" s="181">
        <v>19</v>
      </c>
      <c r="BK59" s="184">
        <v>15764.61</v>
      </c>
      <c r="BL59" s="180" t="str">
        <f t="shared" si="64"/>
        <v>D2B</v>
      </c>
      <c r="BM59" s="181">
        <v>19</v>
      </c>
      <c r="BN59" s="184">
        <v>16769.95</v>
      </c>
      <c r="BO59" s="180" t="str">
        <f t="shared" si="65"/>
        <v>D3B</v>
      </c>
      <c r="BP59" s="181">
        <v>19</v>
      </c>
      <c r="BQ59" s="184">
        <v>18374.77</v>
      </c>
      <c r="BR59" s="180" t="str">
        <f t="shared" si="66"/>
        <v>D4B</v>
      </c>
      <c r="BS59" s="181">
        <v>19</v>
      </c>
      <c r="BT59" s="184">
        <v>21605.94</v>
      </c>
      <c r="BU59" s="180" t="str">
        <f t="shared" si="67"/>
        <v>D1C</v>
      </c>
      <c r="BV59" s="181">
        <v>19</v>
      </c>
      <c r="BW59" s="184">
        <v>15764.61</v>
      </c>
      <c r="BX59" s="180" t="str">
        <f t="shared" si="68"/>
        <v>D2C</v>
      </c>
      <c r="BY59" s="181">
        <v>19</v>
      </c>
      <c r="BZ59" s="184">
        <v>16617.2</v>
      </c>
      <c r="CA59" s="180" t="str">
        <f t="shared" si="69"/>
        <v>D3C</v>
      </c>
      <c r="CB59" s="181">
        <v>19</v>
      </c>
      <c r="CC59" s="184">
        <v>18374.77</v>
      </c>
      <c r="CD59" s="180" t="str">
        <f t="shared" si="70"/>
        <v>D4C</v>
      </c>
      <c r="CE59" s="181">
        <v>19</v>
      </c>
      <c r="CF59" s="184">
        <v>21605.94</v>
      </c>
    </row>
    <row r="60" spans="1:84" x14ac:dyDescent="0.2">
      <c r="A60" s="180" t="str">
        <f t="shared" si="43"/>
        <v>CC1</v>
      </c>
      <c r="B60" s="181">
        <v>20</v>
      </c>
      <c r="C60" s="184">
        <v>19529.97</v>
      </c>
      <c r="D60" s="180" t="str">
        <f t="shared" si="44"/>
        <v>CC2</v>
      </c>
      <c r="E60" s="181">
        <v>20</v>
      </c>
      <c r="F60" s="184">
        <v>21029.97</v>
      </c>
      <c r="G60" s="180" t="str">
        <f t="shared" si="45"/>
        <v>CC3</v>
      </c>
      <c r="H60" s="181">
        <v>20</v>
      </c>
      <c r="I60" s="184">
        <v>22529.97</v>
      </c>
      <c r="J60" s="180" t="str">
        <f t="shared" si="46"/>
        <v>CC4</v>
      </c>
      <c r="K60" s="181">
        <v>20</v>
      </c>
      <c r="L60" s="184">
        <v>24029.97</v>
      </c>
      <c r="M60" s="180" t="str">
        <f t="shared" si="47"/>
        <v>C1A</v>
      </c>
      <c r="N60" s="181">
        <v>20</v>
      </c>
      <c r="O60" s="184">
        <v>19814.28</v>
      </c>
      <c r="P60" s="180" t="str">
        <f t="shared" si="48"/>
        <v>C2A</v>
      </c>
      <c r="Q60" s="181">
        <v>20</v>
      </c>
      <c r="R60" s="184">
        <v>21314.28</v>
      </c>
      <c r="S60" s="180" t="str">
        <f t="shared" si="49"/>
        <v>C3A</v>
      </c>
      <c r="T60" s="181">
        <v>20</v>
      </c>
      <c r="U60" s="184">
        <v>22814.28</v>
      </c>
      <c r="V60" s="180" t="str">
        <f t="shared" si="50"/>
        <v>C4A</v>
      </c>
      <c r="W60" s="181">
        <v>20</v>
      </c>
      <c r="X60" s="184">
        <v>24314.28</v>
      </c>
      <c r="Y60" s="180" t="str">
        <f t="shared" si="51"/>
        <v>C1D</v>
      </c>
      <c r="Z60" s="181">
        <v>20</v>
      </c>
      <c r="AA60" s="184">
        <v>20910.169999999998</v>
      </c>
      <c r="AB60" s="180" t="str">
        <f t="shared" si="52"/>
        <v>C2D</v>
      </c>
      <c r="AC60" s="181">
        <v>20</v>
      </c>
      <c r="AD60" s="184">
        <v>21339.33</v>
      </c>
      <c r="AE60" s="180" t="str">
        <f t="shared" si="53"/>
        <v>C3D</v>
      </c>
      <c r="AF60" s="181">
        <v>20</v>
      </c>
      <c r="AG60" s="184">
        <v>23424.78</v>
      </c>
      <c r="AH60" s="180" t="str">
        <f t="shared" si="54"/>
        <v>C4D</v>
      </c>
      <c r="AI60" s="181">
        <v>20</v>
      </c>
      <c r="AJ60" s="184">
        <v>24302.44</v>
      </c>
      <c r="AK60" s="180" t="str">
        <f t="shared" si="55"/>
        <v>DD1</v>
      </c>
      <c r="AL60" s="181">
        <v>20</v>
      </c>
      <c r="AM60" s="184">
        <v>13384.98</v>
      </c>
      <c r="AN60" s="180" t="str">
        <f t="shared" si="56"/>
        <v>DD2</v>
      </c>
      <c r="AO60" s="181">
        <v>20</v>
      </c>
      <c r="AP60" s="184">
        <v>14299.06</v>
      </c>
      <c r="AQ60" s="180" t="str">
        <f t="shared" si="57"/>
        <v>DD3</v>
      </c>
      <c r="AR60" s="181">
        <v>20</v>
      </c>
      <c r="AS60" s="184">
        <v>15299.06</v>
      </c>
      <c r="AT60" s="180" t="str">
        <f t="shared" si="58"/>
        <v>DD4</v>
      </c>
      <c r="AU60" s="181">
        <v>20</v>
      </c>
      <c r="AV60" s="184">
        <v>16299.06</v>
      </c>
      <c r="AW60" s="180" t="str">
        <f t="shared" si="59"/>
        <v>D1A</v>
      </c>
      <c r="AX60" s="181">
        <v>20</v>
      </c>
      <c r="AY60" s="184">
        <v>15305.82</v>
      </c>
      <c r="AZ60" s="180" t="str">
        <f t="shared" si="60"/>
        <v>D2A</v>
      </c>
      <c r="BA60" s="181">
        <v>20</v>
      </c>
      <c r="BB60" s="184">
        <v>16413.16</v>
      </c>
      <c r="BC60" s="180" t="str">
        <f t="shared" si="61"/>
        <v>D3A</v>
      </c>
      <c r="BD60" s="181">
        <v>20</v>
      </c>
      <c r="BE60" s="184">
        <v>17444.68</v>
      </c>
      <c r="BF60" s="180" t="str">
        <f t="shared" si="62"/>
        <v>D4A</v>
      </c>
      <c r="BG60" s="181">
        <v>20</v>
      </c>
      <c r="BH60" s="184">
        <v>18444.68</v>
      </c>
      <c r="BI60" s="180" t="str">
        <f t="shared" si="63"/>
        <v>D1B</v>
      </c>
      <c r="BJ60" s="181">
        <v>20</v>
      </c>
      <c r="BK60" s="184">
        <v>15764.61</v>
      </c>
      <c r="BL60" s="180" t="str">
        <f t="shared" si="64"/>
        <v>D2B</v>
      </c>
      <c r="BM60" s="181">
        <v>20</v>
      </c>
      <c r="BN60" s="184">
        <v>16769.95</v>
      </c>
      <c r="BO60" s="180" t="str">
        <f t="shared" si="65"/>
        <v>D3B</v>
      </c>
      <c r="BP60" s="181">
        <v>20</v>
      </c>
      <c r="BQ60" s="184">
        <v>18374.77</v>
      </c>
      <c r="BR60" s="180" t="str">
        <f t="shared" si="66"/>
        <v>D4B</v>
      </c>
      <c r="BS60" s="181">
        <v>20</v>
      </c>
      <c r="BT60" s="184">
        <v>21605.94</v>
      </c>
      <c r="BU60" s="180" t="str">
        <f t="shared" si="67"/>
        <v>D1C</v>
      </c>
      <c r="BV60" s="181">
        <v>20</v>
      </c>
      <c r="BW60" s="184">
        <v>15764.61</v>
      </c>
      <c r="BX60" s="180" t="str">
        <f t="shared" si="68"/>
        <v>D2C</v>
      </c>
      <c r="BY60" s="181">
        <v>20</v>
      </c>
      <c r="BZ60" s="184">
        <v>16617.2</v>
      </c>
      <c r="CA60" s="180" t="str">
        <f t="shared" si="69"/>
        <v>D3C</v>
      </c>
      <c r="CB60" s="181">
        <v>20</v>
      </c>
      <c r="CC60" s="184">
        <v>18374.77</v>
      </c>
      <c r="CD60" s="180" t="str">
        <f t="shared" si="70"/>
        <v>D4C</v>
      </c>
      <c r="CE60" s="181">
        <v>20</v>
      </c>
      <c r="CF60" s="184">
        <v>21605.94</v>
      </c>
    </row>
    <row r="61" spans="1:84" x14ac:dyDescent="0.2">
      <c r="A61" s="180" t="str">
        <f t="shared" si="43"/>
        <v>CC1</v>
      </c>
      <c r="B61" s="181">
        <v>21</v>
      </c>
      <c r="C61" s="184">
        <v>20153.580000000002</v>
      </c>
      <c r="D61" s="180" t="str">
        <f t="shared" si="44"/>
        <v>CC2</v>
      </c>
      <c r="E61" s="181">
        <v>21</v>
      </c>
      <c r="F61" s="184">
        <v>21653.58</v>
      </c>
      <c r="G61" s="180" t="str">
        <f t="shared" si="45"/>
        <v>CC3</v>
      </c>
      <c r="H61" s="181">
        <v>21</v>
      </c>
      <c r="I61" s="184">
        <v>23153.58</v>
      </c>
      <c r="J61" s="180" t="str">
        <f t="shared" si="46"/>
        <v>CC4</v>
      </c>
      <c r="K61" s="181">
        <v>21</v>
      </c>
      <c r="L61" s="184">
        <v>24653.58</v>
      </c>
      <c r="M61" s="180" t="str">
        <f t="shared" si="47"/>
        <v>C1A</v>
      </c>
      <c r="N61" s="181">
        <v>21</v>
      </c>
      <c r="O61" s="184">
        <v>20437.89</v>
      </c>
      <c r="P61" s="180" t="str">
        <f t="shared" si="48"/>
        <v>C2A</v>
      </c>
      <c r="Q61" s="181">
        <v>21</v>
      </c>
      <c r="R61" s="184">
        <v>21937.89</v>
      </c>
      <c r="S61" s="180" t="str">
        <f t="shared" si="49"/>
        <v>C3A</v>
      </c>
      <c r="T61" s="181">
        <v>21</v>
      </c>
      <c r="U61" s="184">
        <v>23437.89</v>
      </c>
      <c r="V61" s="180" t="str">
        <f t="shared" si="50"/>
        <v>C4A</v>
      </c>
      <c r="W61" s="181">
        <v>21</v>
      </c>
      <c r="X61" s="184">
        <v>24937.89</v>
      </c>
      <c r="Y61" s="180" t="str">
        <f t="shared" si="51"/>
        <v>C1D</v>
      </c>
      <c r="Z61" s="181">
        <v>21</v>
      </c>
      <c r="AA61" s="184">
        <v>21445.3</v>
      </c>
      <c r="AB61" s="180" t="str">
        <f t="shared" si="52"/>
        <v>C2D</v>
      </c>
      <c r="AC61" s="181">
        <v>21</v>
      </c>
      <c r="AD61" s="184">
        <v>21962.94</v>
      </c>
      <c r="AE61" s="180" t="str">
        <f t="shared" si="53"/>
        <v>C3D</v>
      </c>
      <c r="AF61" s="181">
        <v>21</v>
      </c>
      <c r="AG61" s="184">
        <v>24048.39</v>
      </c>
      <c r="AH61" s="180" t="str">
        <f t="shared" si="54"/>
        <v>C4D</v>
      </c>
      <c r="AI61" s="181">
        <v>21</v>
      </c>
      <c r="AJ61" s="184">
        <v>24926.05</v>
      </c>
      <c r="AK61" s="180" t="str">
        <f t="shared" si="55"/>
        <v>DD1</v>
      </c>
      <c r="AL61" s="181">
        <v>21</v>
      </c>
      <c r="AM61" s="184">
        <v>13429.77</v>
      </c>
      <c r="AN61" s="180" t="str">
        <f t="shared" si="56"/>
        <v>DD2</v>
      </c>
      <c r="AO61" s="181">
        <v>21</v>
      </c>
      <c r="AP61" s="184">
        <v>14358.4</v>
      </c>
      <c r="AQ61" s="180" t="str">
        <f t="shared" si="57"/>
        <v>DD3</v>
      </c>
      <c r="AR61" s="181">
        <v>21</v>
      </c>
      <c r="AS61" s="184">
        <v>15358.4</v>
      </c>
      <c r="AT61" s="180" t="str">
        <f t="shared" si="58"/>
        <v>DD4</v>
      </c>
      <c r="AU61" s="181">
        <v>21</v>
      </c>
      <c r="AV61" s="184">
        <v>16358.4</v>
      </c>
      <c r="AW61" s="180" t="str">
        <f t="shared" si="59"/>
        <v>D1A</v>
      </c>
      <c r="AX61" s="181">
        <v>21</v>
      </c>
      <c r="AY61" s="184">
        <v>15564.32</v>
      </c>
      <c r="AZ61" s="180" t="str">
        <f t="shared" si="60"/>
        <v>D2A</v>
      </c>
      <c r="BA61" s="181">
        <v>21</v>
      </c>
      <c r="BB61" s="184">
        <v>16702.61</v>
      </c>
      <c r="BC61" s="180" t="str">
        <f t="shared" si="61"/>
        <v>D3A</v>
      </c>
      <c r="BD61" s="181">
        <v>21</v>
      </c>
      <c r="BE61" s="184">
        <v>17759.93</v>
      </c>
      <c r="BF61" s="180" t="str">
        <f t="shared" si="62"/>
        <v>D4A</v>
      </c>
      <c r="BG61" s="181">
        <v>21</v>
      </c>
      <c r="BH61" s="184">
        <v>18759.93</v>
      </c>
      <c r="BI61" s="180" t="str">
        <f t="shared" si="63"/>
        <v>D1B</v>
      </c>
      <c r="BJ61" s="181">
        <v>21</v>
      </c>
      <c r="BK61" s="184">
        <v>16113.66</v>
      </c>
      <c r="BL61" s="180" t="str">
        <f t="shared" si="64"/>
        <v>D2B</v>
      </c>
      <c r="BM61" s="181">
        <v>21</v>
      </c>
      <c r="BN61" s="184">
        <v>17119</v>
      </c>
      <c r="BO61" s="180" t="str">
        <f t="shared" si="65"/>
        <v>D3B</v>
      </c>
      <c r="BP61" s="181">
        <v>21</v>
      </c>
      <c r="BQ61" s="184">
        <v>18723.82</v>
      </c>
      <c r="BR61" s="180" t="str">
        <f t="shared" si="66"/>
        <v>D4B</v>
      </c>
      <c r="BS61" s="181">
        <v>21</v>
      </c>
      <c r="BT61" s="184">
        <v>21958.97</v>
      </c>
      <c r="BU61" s="180" t="str">
        <f t="shared" si="67"/>
        <v>D1C</v>
      </c>
      <c r="BV61" s="181">
        <v>21</v>
      </c>
      <c r="BW61" s="184">
        <v>16113.66</v>
      </c>
      <c r="BX61" s="180" t="str">
        <f t="shared" si="68"/>
        <v>D2C</v>
      </c>
      <c r="BY61" s="181">
        <v>21</v>
      </c>
      <c r="BZ61" s="184">
        <v>16966.25</v>
      </c>
      <c r="CA61" s="180" t="str">
        <f t="shared" si="69"/>
        <v>D3C</v>
      </c>
      <c r="CB61" s="181">
        <v>21</v>
      </c>
      <c r="CC61" s="184">
        <v>18723.82</v>
      </c>
      <c r="CD61" s="180" t="str">
        <f t="shared" si="70"/>
        <v>D4C</v>
      </c>
      <c r="CE61" s="181">
        <v>21</v>
      </c>
      <c r="CF61" s="184">
        <v>21958.97</v>
      </c>
    </row>
    <row r="62" spans="1:84" x14ac:dyDescent="0.2">
      <c r="A62" s="180" t="str">
        <f t="shared" si="43"/>
        <v>CC1</v>
      </c>
      <c r="B62" s="181">
        <v>22</v>
      </c>
      <c r="C62" s="184">
        <v>20153.580000000002</v>
      </c>
      <c r="D62" s="180" t="str">
        <f t="shared" si="44"/>
        <v>CC2</v>
      </c>
      <c r="E62" s="181">
        <v>22</v>
      </c>
      <c r="F62" s="184">
        <v>21653.58</v>
      </c>
      <c r="G62" s="180" t="str">
        <f t="shared" si="45"/>
        <v>CC3</v>
      </c>
      <c r="H62" s="181">
        <v>22</v>
      </c>
      <c r="I62" s="184">
        <v>23153.58</v>
      </c>
      <c r="J62" s="180" t="str">
        <f t="shared" si="46"/>
        <v>CC4</v>
      </c>
      <c r="K62" s="181">
        <v>22</v>
      </c>
      <c r="L62" s="184">
        <v>24653.58</v>
      </c>
      <c r="M62" s="180" t="str">
        <f t="shared" si="47"/>
        <v>C1A</v>
      </c>
      <c r="N62" s="181">
        <v>22</v>
      </c>
      <c r="O62" s="184">
        <v>20437.89</v>
      </c>
      <c r="P62" s="180" t="str">
        <f t="shared" si="48"/>
        <v>C2A</v>
      </c>
      <c r="Q62" s="181">
        <v>22</v>
      </c>
      <c r="R62" s="184">
        <v>21937.89</v>
      </c>
      <c r="S62" s="180" t="str">
        <f t="shared" si="49"/>
        <v>C3A</v>
      </c>
      <c r="T62" s="181">
        <v>22</v>
      </c>
      <c r="U62" s="184">
        <v>23437.89</v>
      </c>
      <c r="V62" s="180" t="str">
        <f t="shared" si="50"/>
        <v>C4A</v>
      </c>
      <c r="W62" s="181">
        <v>22</v>
      </c>
      <c r="X62" s="184">
        <v>24937.89</v>
      </c>
      <c r="Y62" s="180" t="str">
        <f t="shared" si="51"/>
        <v>C1D</v>
      </c>
      <c r="Z62" s="181">
        <v>22</v>
      </c>
      <c r="AA62" s="184">
        <v>21445.3</v>
      </c>
      <c r="AB62" s="180" t="str">
        <f t="shared" si="52"/>
        <v>C2D</v>
      </c>
      <c r="AC62" s="181">
        <v>22</v>
      </c>
      <c r="AD62" s="184">
        <v>21962.94</v>
      </c>
      <c r="AE62" s="180" t="str">
        <f t="shared" si="53"/>
        <v>C3D</v>
      </c>
      <c r="AF62" s="181">
        <v>22</v>
      </c>
      <c r="AG62" s="184">
        <v>24048.39</v>
      </c>
      <c r="AH62" s="180" t="str">
        <f t="shared" si="54"/>
        <v>C4D</v>
      </c>
      <c r="AI62" s="181">
        <v>22</v>
      </c>
      <c r="AJ62" s="184">
        <v>24926.05</v>
      </c>
      <c r="AK62" s="180" t="str">
        <f t="shared" si="55"/>
        <v>DD1</v>
      </c>
      <c r="AL62" s="181">
        <v>22</v>
      </c>
      <c r="AM62" s="184">
        <v>13441.47</v>
      </c>
      <c r="AN62" s="180" t="str">
        <f t="shared" si="56"/>
        <v>DD2</v>
      </c>
      <c r="AO62" s="181">
        <v>22</v>
      </c>
      <c r="AP62" s="184">
        <v>14358.4</v>
      </c>
      <c r="AQ62" s="180" t="str">
        <f t="shared" si="57"/>
        <v>DD3</v>
      </c>
      <c r="AR62" s="181">
        <v>22</v>
      </c>
      <c r="AS62" s="184">
        <v>15358.4</v>
      </c>
      <c r="AT62" s="180" t="str">
        <f t="shared" si="58"/>
        <v>DD4</v>
      </c>
      <c r="AU62" s="181">
        <v>22</v>
      </c>
      <c r="AV62" s="184">
        <v>16358.4</v>
      </c>
      <c r="AW62" s="180" t="str">
        <f t="shared" si="59"/>
        <v>D1A</v>
      </c>
      <c r="AX62" s="181">
        <v>22</v>
      </c>
      <c r="AY62" s="184">
        <v>15593.88</v>
      </c>
      <c r="AZ62" s="180" t="str">
        <f t="shared" si="60"/>
        <v>D2A</v>
      </c>
      <c r="BA62" s="181">
        <v>22</v>
      </c>
      <c r="BB62" s="184">
        <v>16714.939999999999</v>
      </c>
      <c r="BC62" s="180" t="str">
        <f t="shared" si="61"/>
        <v>D3A</v>
      </c>
      <c r="BD62" s="181">
        <v>22</v>
      </c>
      <c r="BE62" s="184">
        <v>17759.93</v>
      </c>
      <c r="BF62" s="180" t="str">
        <f t="shared" si="62"/>
        <v>D4A</v>
      </c>
      <c r="BG62" s="181">
        <v>22</v>
      </c>
      <c r="BH62" s="184">
        <v>18759.93</v>
      </c>
      <c r="BI62" s="180" t="str">
        <f t="shared" si="63"/>
        <v>D1B</v>
      </c>
      <c r="BJ62" s="181">
        <v>22</v>
      </c>
      <c r="BK62" s="184">
        <v>16113.66</v>
      </c>
      <c r="BL62" s="180" t="str">
        <f t="shared" si="64"/>
        <v>D2B</v>
      </c>
      <c r="BM62" s="181">
        <v>22</v>
      </c>
      <c r="BN62" s="184">
        <v>17119</v>
      </c>
      <c r="BO62" s="180" t="str">
        <f t="shared" si="65"/>
        <v>D3B</v>
      </c>
      <c r="BP62" s="181">
        <v>22</v>
      </c>
      <c r="BQ62" s="184">
        <v>18723.82</v>
      </c>
      <c r="BR62" s="180" t="str">
        <f t="shared" si="66"/>
        <v>D4B</v>
      </c>
      <c r="BS62" s="181">
        <v>22</v>
      </c>
      <c r="BT62" s="184">
        <v>21958.97</v>
      </c>
      <c r="BU62" s="180" t="str">
        <f t="shared" si="67"/>
        <v>D1C</v>
      </c>
      <c r="BV62" s="181">
        <v>22</v>
      </c>
      <c r="BW62" s="184">
        <v>16113.66</v>
      </c>
      <c r="BX62" s="180" t="str">
        <f t="shared" si="68"/>
        <v>D2C</v>
      </c>
      <c r="BY62" s="181">
        <v>22</v>
      </c>
      <c r="BZ62" s="184">
        <v>16966.25</v>
      </c>
      <c r="CA62" s="180" t="str">
        <f t="shared" si="69"/>
        <v>D3C</v>
      </c>
      <c r="CB62" s="181">
        <v>22</v>
      </c>
      <c r="CC62" s="184">
        <v>18723.82</v>
      </c>
      <c r="CD62" s="180" t="str">
        <f t="shared" si="70"/>
        <v>D4C</v>
      </c>
      <c r="CE62" s="181">
        <v>22</v>
      </c>
      <c r="CF62" s="184">
        <v>21958.97</v>
      </c>
    </row>
    <row r="63" spans="1:84" x14ac:dyDescent="0.2">
      <c r="A63" s="180" t="str">
        <f t="shared" si="43"/>
        <v>CC1</v>
      </c>
      <c r="B63" s="181">
        <v>23</v>
      </c>
      <c r="C63" s="184">
        <v>20777.189999999999</v>
      </c>
      <c r="D63" s="180" t="str">
        <f t="shared" si="44"/>
        <v>CC2</v>
      </c>
      <c r="E63" s="181">
        <v>23</v>
      </c>
      <c r="F63" s="184">
        <v>22277.19</v>
      </c>
      <c r="G63" s="180" t="str">
        <f t="shared" si="45"/>
        <v>CC3</v>
      </c>
      <c r="H63" s="181">
        <v>23</v>
      </c>
      <c r="I63" s="184">
        <v>23777.19</v>
      </c>
      <c r="J63" s="180" t="str">
        <f t="shared" si="46"/>
        <v>CC4</v>
      </c>
      <c r="K63" s="181">
        <v>23</v>
      </c>
      <c r="L63" s="184">
        <v>25277.19</v>
      </c>
      <c r="M63" s="180" t="str">
        <f t="shared" si="47"/>
        <v>C1A</v>
      </c>
      <c r="N63" s="181">
        <v>23</v>
      </c>
      <c r="O63" s="184">
        <v>21061.5</v>
      </c>
      <c r="P63" s="180" t="str">
        <f t="shared" si="48"/>
        <v>C2A</v>
      </c>
      <c r="Q63" s="181">
        <v>23</v>
      </c>
      <c r="R63" s="184">
        <v>22561.5</v>
      </c>
      <c r="S63" s="180" t="str">
        <f t="shared" si="49"/>
        <v>C3A</v>
      </c>
      <c r="T63" s="181">
        <v>23</v>
      </c>
      <c r="U63" s="184">
        <v>24061.5</v>
      </c>
      <c r="V63" s="180" t="str">
        <f t="shared" si="50"/>
        <v>C4A</v>
      </c>
      <c r="W63" s="181">
        <v>23</v>
      </c>
      <c r="X63" s="184">
        <v>25561.5</v>
      </c>
      <c r="Y63" s="180" t="str">
        <f t="shared" si="51"/>
        <v>C1D</v>
      </c>
      <c r="Z63" s="181">
        <v>23</v>
      </c>
      <c r="AA63" s="184">
        <v>21980.43</v>
      </c>
      <c r="AB63" s="180" t="str">
        <f t="shared" si="52"/>
        <v>C2D</v>
      </c>
      <c r="AC63" s="181">
        <v>23</v>
      </c>
      <c r="AD63" s="184">
        <v>22586.55</v>
      </c>
      <c r="AE63" s="180" t="str">
        <f t="shared" si="53"/>
        <v>C3D</v>
      </c>
      <c r="AF63" s="181">
        <v>23</v>
      </c>
      <c r="AG63" s="184">
        <v>24672</v>
      </c>
      <c r="AH63" s="180" t="str">
        <f t="shared" si="54"/>
        <v>C4D</v>
      </c>
      <c r="AI63" s="181">
        <v>23</v>
      </c>
      <c r="AJ63" s="184">
        <v>25549.66</v>
      </c>
      <c r="AK63" s="180" t="str">
        <f t="shared" si="55"/>
        <v>DD1</v>
      </c>
      <c r="AL63" s="181">
        <v>23</v>
      </c>
      <c r="AM63" s="184">
        <v>13486.26</v>
      </c>
      <c r="AN63" s="180" t="str">
        <f t="shared" si="56"/>
        <v>DD2</v>
      </c>
      <c r="AO63" s="181">
        <v>23</v>
      </c>
      <c r="AP63" s="184">
        <v>14417.74</v>
      </c>
      <c r="AQ63" s="180" t="str">
        <f t="shared" si="57"/>
        <v>DD3</v>
      </c>
      <c r="AR63" s="181">
        <v>23</v>
      </c>
      <c r="AS63" s="184">
        <v>15417.74</v>
      </c>
      <c r="AT63" s="180" t="str">
        <f t="shared" si="58"/>
        <v>DD4</v>
      </c>
      <c r="AU63" s="181">
        <v>23</v>
      </c>
      <c r="AV63" s="184">
        <v>16417.740000000002</v>
      </c>
      <c r="AW63" s="180" t="str">
        <f t="shared" si="59"/>
        <v>D1A</v>
      </c>
      <c r="AX63" s="181">
        <v>23</v>
      </c>
      <c r="AY63" s="184">
        <v>15888.43</v>
      </c>
      <c r="AZ63" s="180" t="str">
        <f t="shared" si="60"/>
        <v>D2A</v>
      </c>
      <c r="BA63" s="181">
        <v>23</v>
      </c>
      <c r="BB63" s="184">
        <v>17051.66</v>
      </c>
      <c r="BC63" s="180" t="str">
        <f t="shared" si="61"/>
        <v>D3A</v>
      </c>
      <c r="BD63" s="181">
        <v>23</v>
      </c>
      <c r="BE63" s="184">
        <v>18108.98</v>
      </c>
      <c r="BF63" s="180" t="str">
        <f t="shared" si="62"/>
        <v>D4A</v>
      </c>
      <c r="BG63" s="181">
        <v>23</v>
      </c>
      <c r="BH63" s="184">
        <v>19108.98</v>
      </c>
      <c r="BI63" s="180" t="str">
        <f t="shared" si="63"/>
        <v>D1B</v>
      </c>
      <c r="BJ63" s="181">
        <v>23</v>
      </c>
      <c r="BK63" s="184">
        <v>16462.71</v>
      </c>
      <c r="BL63" s="180" t="str">
        <f t="shared" si="64"/>
        <v>D2B</v>
      </c>
      <c r="BM63" s="181">
        <v>23</v>
      </c>
      <c r="BN63" s="184">
        <v>17468.05</v>
      </c>
      <c r="BO63" s="180" t="str">
        <f t="shared" si="65"/>
        <v>D3B</v>
      </c>
      <c r="BP63" s="181">
        <v>23</v>
      </c>
      <c r="BQ63" s="184">
        <v>19072.87</v>
      </c>
      <c r="BR63" s="180" t="str">
        <f t="shared" si="66"/>
        <v>D4B</v>
      </c>
      <c r="BS63" s="181">
        <v>23</v>
      </c>
      <c r="BT63" s="184">
        <v>22312</v>
      </c>
      <c r="BU63" s="180" t="str">
        <f t="shared" si="67"/>
        <v>D1C</v>
      </c>
      <c r="BV63" s="181">
        <v>23</v>
      </c>
      <c r="BW63" s="184">
        <v>16462.71</v>
      </c>
      <c r="BX63" s="180" t="str">
        <f t="shared" si="68"/>
        <v>D2C</v>
      </c>
      <c r="BY63" s="181">
        <v>23</v>
      </c>
      <c r="BZ63" s="184">
        <v>17315.3</v>
      </c>
      <c r="CA63" s="180" t="str">
        <f t="shared" si="69"/>
        <v>D3C</v>
      </c>
      <c r="CB63" s="181">
        <v>23</v>
      </c>
      <c r="CC63" s="184">
        <v>19072.87</v>
      </c>
      <c r="CD63" s="180" t="str">
        <f t="shared" si="70"/>
        <v>D4C</v>
      </c>
      <c r="CE63" s="181">
        <v>23</v>
      </c>
      <c r="CF63" s="184">
        <v>22312</v>
      </c>
    </row>
    <row r="64" spans="1:84" x14ac:dyDescent="0.2">
      <c r="A64" s="180" t="str">
        <f t="shared" si="43"/>
        <v>CC1</v>
      </c>
      <c r="B64" s="181">
        <v>24</v>
      </c>
      <c r="C64" s="184">
        <v>20777.189999999999</v>
      </c>
      <c r="D64" s="180" t="str">
        <f t="shared" si="44"/>
        <v>CC2</v>
      </c>
      <c r="E64" s="181">
        <v>24</v>
      </c>
      <c r="F64" s="184">
        <v>22277.19</v>
      </c>
      <c r="G64" s="180" t="str">
        <f t="shared" si="45"/>
        <v>CC3</v>
      </c>
      <c r="H64" s="181">
        <v>24</v>
      </c>
      <c r="I64" s="184">
        <v>23777.19</v>
      </c>
      <c r="J64" s="180" t="str">
        <f t="shared" si="46"/>
        <v>CC4</v>
      </c>
      <c r="K64" s="181">
        <v>24</v>
      </c>
      <c r="L64" s="184">
        <v>25678.05</v>
      </c>
      <c r="M64" s="180" t="str">
        <f t="shared" si="47"/>
        <v>C1A</v>
      </c>
      <c r="N64" s="181">
        <v>24</v>
      </c>
      <c r="O64" s="184">
        <v>21061.5</v>
      </c>
      <c r="P64" s="180" t="str">
        <f t="shared" si="48"/>
        <v>C2A</v>
      </c>
      <c r="Q64" s="181">
        <v>24</v>
      </c>
      <c r="R64" s="184">
        <v>22561.5</v>
      </c>
      <c r="S64" s="180" t="str">
        <f t="shared" si="49"/>
        <v>C3A</v>
      </c>
      <c r="T64" s="181">
        <v>24</v>
      </c>
      <c r="U64" s="184">
        <v>24061.5</v>
      </c>
      <c r="V64" s="180" t="str">
        <f t="shared" si="50"/>
        <v>C4A</v>
      </c>
      <c r="W64" s="181">
        <v>24</v>
      </c>
      <c r="X64" s="184">
        <v>25834.43</v>
      </c>
      <c r="Y64" s="180" t="str">
        <f t="shared" si="51"/>
        <v>C1D</v>
      </c>
      <c r="Z64" s="181">
        <v>24</v>
      </c>
      <c r="AA64" s="184">
        <v>21980.43</v>
      </c>
      <c r="AB64" s="180" t="str">
        <f t="shared" si="52"/>
        <v>C2D</v>
      </c>
      <c r="AC64" s="181">
        <v>24</v>
      </c>
      <c r="AD64" s="184">
        <v>22586.55</v>
      </c>
      <c r="AE64" s="180" t="str">
        <f t="shared" si="53"/>
        <v>C3D</v>
      </c>
      <c r="AF64" s="181">
        <v>24</v>
      </c>
      <c r="AG64" s="184">
        <v>24672</v>
      </c>
      <c r="AH64" s="180" t="str">
        <f t="shared" si="54"/>
        <v>C4D</v>
      </c>
      <c r="AI64" s="181">
        <v>24</v>
      </c>
      <c r="AJ64" s="184">
        <v>25827.91</v>
      </c>
      <c r="AK64" s="180" t="str">
        <f t="shared" si="55"/>
        <v>DD1</v>
      </c>
      <c r="AL64" s="181">
        <v>24</v>
      </c>
      <c r="AM64" s="184">
        <v>13498.41</v>
      </c>
      <c r="AN64" s="180" t="str">
        <f t="shared" si="56"/>
        <v>DD2</v>
      </c>
      <c r="AO64" s="181">
        <v>24</v>
      </c>
      <c r="AP64" s="184">
        <v>14417.74</v>
      </c>
      <c r="AQ64" s="180" t="str">
        <f t="shared" si="57"/>
        <v>DD3</v>
      </c>
      <c r="AR64" s="181">
        <v>24</v>
      </c>
      <c r="AS64" s="184">
        <v>15417.74</v>
      </c>
      <c r="AT64" s="180" t="str">
        <f t="shared" si="58"/>
        <v>DD4</v>
      </c>
      <c r="AU64" s="181">
        <v>24</v>
      </c>
      <c r="AV64" s="184">
        <v>16417.740000000002</v>
      </c>
      <c r="AW64" s="180" t="str">
        <f t="shared" si="59"/>
        <v>D1A</v>
      </c>
      <c r="AX64" s="181">
        <v>24</v>
      </c>
      <c r="AY64" s="184">
        <v>15888.43</v>
      </c>
      <c r="AZ64" s="180" t="str">
        <f t="shared" si="60"/>
        <v>D2A</v>
      </c>
      <c r="BA64" s="181">
        <v>24</v>
      </c>
      <c r="BB64" s="184">
        <v>17051.66</v>
      </c>
      <c r="BC64" s="180" t="str">
        <f t="shared" si="61"/>
        <v>D3A</v>
      </c>
      <c r="BD64" s="181">
        <v>24</v>
      </c>
      <c r="BE64" s="184">
        <v>18108.98</v>
      </c>
      <c r="BF64" s="180" t="str">
        <f t="shared" si="62"/>
        <v>D4A</v>
      </c>
      <c r="BG64" s="181">
        <v>24</v>
      </c>
      <c r="BH64" s="184">
        <v>19497.79</v>
      </c>
      <c r="BI64" s="180" t="str">
        <f t="shared" si="63"/>
        <v>D1B</v>
      </c>
      <c r="BJ64" s="181">
        <v>24</v>
      </c>
      <c r="BK64" s="184">
        <v>16462.71</v>
      </c>
      <c r="BL64" s="180" t="str">
        <f t="shared" si="64"/>
        <v>D2B</v>
      </c>
      <c r="BM64" s="181">
        <v>24</v>
      </c>
      <c r="BN64" s="184">
        <v>17468.05</v>
      </c>
      <c r="BO64" s="180" t="str">
        <f t="shared" si="65"/>
        <v>D3B</v>
      </c>
      <c r="BP64" s="181">
        <v>24</v>
      </c>
      <c r="BQ64" s="184">
        <v>19072.87</v>
      </c>
      <c r="BR64" s="180" t="str">
        <f t="shared" si="66"/>
        <v>D4B</v>
      </c>
      <c r="BS64" s="181">
        <v>24</v>
      </c>
      <c r="BT64" s="184">
        <v>22312</v>
      </c>
      <c r="BU64" s="180" t="str">
        <f t="shared" si="67"/>
        <v>D1C</v>
      </c>
      <c r="BV64" s="181">
        <v>24</v>
      </c>
      <c r="BW64" s="184">
        <v>16462.71</v>
      </c>
      <c r="BX64" s="180" t="str">
        <f t="shared" si="68"/>
        <v>D2C</v>
      </c>
      <c r="BY64" s="181">
        <v>24</v>
      </c>
      <c r="BZ64" s="184">
        <v>17315.3</v>
      </c>
      <c r="CA64" s="180" t="str">
        <f t="shared" si="69"/>
        <v>D3C</v>
      </c>
      <c r="CB64" s="181">
        <v>24</v>
      </c>
      <c r="CC64" s="184">
        <v>19072.87</v>
      </c>
      <c r="CD64" s="180" t="str">
        <f t="shared" si="70"/>
        <v>D4C</v>
      </c>
      <c r="CE64" s="181">
        <v>24</v>
      </c>
      <c r="CF64" s="184">
        <v>22312</v>
      </c>
    </row>
    <row r="65" spans="1:84" x14ac:dyDescent="0.2">
      <c r="A65" s="180" t="str">
        <f t="shared" si="43"/>
        <v>CC1</v>
      </c>
      <c r="B65" s="181">
        <v>25</v>
      </c>
      <c r="C65" s="184">
        <v>21400.799999999999</v>
      </c>
      <c r="D65" s="180" t="str">
        <f t="shared" si="44"/>
        <v>CC2</v>
      </c>
      <c r="E65" s="181">
        <v>25</v>
      </c>
      <c r="F65" s="184">
        <v>22900.799999999999</v>
      </c>
      <c r="G65" s="180" t="str">
        <f t="shared" si="45"/>
        <v>CC3</v>
      </c>
      <c r="H65" s="181">
        <v>25</v>
      </c>
      <c r="I65" s="184">
        <v>24400.799999999999</v>
      </c>
      <c r="J65" s="180" t="str">
        <f t="shared" si="46"/>
        <v>CC4</v>
      </c>
      <c r="K65" s="181">
        <v>25</v>
      </c>
      <c r="L65" s="184">
        <v>26111.040000000001</v>
      </c>
      <c r="M65" s="180" t="str">
        <f t="shared" si="47"/>
        <v>C1A</v>
      </c>
      <c r="N65" s="181">
        <v>25</v>
      </c>
      <c r="O65" s="184">
        <v>21685.11</v>
      </c>
      <c r="P65" s="180" t="str">
        <f t="shared" si="48"/>
        <v>C2A</v>
      </c>
      <c r="Q65" s="181">
        <v>25</v>
      </c>
      <c r="R65" s="184">
        <v>23185.11</v>
      </c>
      <c r="S65" s="180" t="str">
        <f t="shared" si="49"/>
        <v>C3A</v>
      </c>
      <c r="T65" s="181">
        <v>25</v>
      </c>
      <c r="U65" s="184">
        <v>24685.11</v>
      </c>
      <c r="V65" s="180" t="str">
        <f t="shared" si="50"/>
        <v>C4A</v>
      </c>
      <c r="W65" s="181">
        <v>25</v>
      </c>
      <c r="X65" s="184">
        <v>26267.41</v>
      </c>
      <c r="Y65" s="180" t="str">
        <f t="shared" si="51"/>
        <v>C1D</v>
      </c>
      <c r="Z65" s="181">
        <v>25</v>
      </c>
      <c r="AA65" s="184">
        <v>22515.56</v>
      </c>
      <c r="AB65" s="180" t="str">
        <f t="shared" si="52"/>
        <v>C2D</v>
      </c>
      <c r="AC65" s="181">
        <v>25</v>
      </c>
      <c r="AD65" s="184">
        <v>23210.16</v>
      </c>
      <c r="AE65" s="180" t="str">
        <f t="shared" si="53"/>
        <v>C3D</v>
      </c>
      <c r="AF65" s="181">
        <v>25</v>
      </c>
      <c r="AG65" s="184">
        <v>25295.61</v>
      </c>
      <c r="AH65" s="180" t="str">
        <f t="shared" si="54"/>
        <v>C4D</v>
      </c>
      <c r="AI65" s="181">
        <v>25</v>
      </c>
      <c r="AJ65" s="184">
        <v>26260.9</v>
      </c>
      <c r="AK65" s="180" t="str">
        <f t="shared" si="55"/>
        <v>DD1</v>
      </c>
      <c r="AL65" s="181">
        <v>25</v>
      </c>
      <c r="AM65" s="184">
        <v>13580.62</v>
      </c>
      <c r="AN65" s="180" t="str">
        <f t="shared" si="56"/>
        <v>DD2</v>
      </c>
      <c r="AO65" s="181">
        <v>25</v>
      </c>
      <c r="AP65" s="184">
        <v>14545.13</v>
      </c>
      <c r="AQ65" s="180" t="str">
        <f t="shared" si="57"/>
        <v>DD3</v>
      </c>
      <c r="AR65" s="181">
        <v>25</v>
      </c>
      <c r="AS65" s="184">
        <v>15545.13</v>
      </c>
      <c r="AT65" s="180" t="str">
        <f t="shared" si="58"/>
        <v>DD4</v>
      </c>
      <c r="AU65" s="181">
        <v>25</v>
      </c>
      <c r="AV65" s="184">
        <v>16545.13</v>
      </c>
      <c r="AW65" s="180" t="str">
        <f t="shared" si="59"/>
        <v>D1A</v>
      </c>
      <c r="AX65" s="181">
        <v>25</v>
      </c>
      <c r="AY65" s="184">
        <v>16212.54</v>
      </c>
      <c r="AZ65" s="180" t="str">
        <f t="shared" si="60"/>
        <v>D2A</v>
      </c>
      <c r="BA65" s="181">
        <v>25</v>
      </c>
      <c r="BB65" s="184">
        <v>17400.71</v>
      </c>
      <c r="BC65" s="180" t="str">
        <f t="shared" si="61"/>
        <v>D3A</v>
      </c>
      <c r="BD65" s="181">
        <v>25</v>
      </c>
      <c r="BE65" s="184">
        <v>18458.03</v>
      </c>
      <c r="BF65" s="180" t="str">
        <f t="shared" si="62"/>
        <v>D4A</v>
      </c>
      <c r="BG65" s="181">
        <v>25</v>
      </c>
      <c r="BH65" s="184">
        <v>19744.669999999998</v>
      </c>
      <c r="BI65" s="180" t="str">
        <f t="shared" si="63"/>
        <v>D1B</v>
      </c>
      <c r="BJ65" s="181">
        <v>25</v>
      </c>
      <c r="BK65" s="184">
        <v>16811.759999999998</v>
      </c>
      <c r="BL65" s="180" t="str">
        <f t="shared" si="64"/>
        <v>D2B</v>
      </c>
      <c r="BM65" s="181">
        <v>25</v>
      </c>
      <c r="BN65" s="184">
        <v>17817.099999999999</v>
      </c>
      <c r="BO65" s="180" t="str">
        <f t="shared" si="65"/>
        <v>D3B</v>
      </c>
      <c r="BP65" s="181">
        <v>25</v>
      </c>
      <c r="BQ65" s="184">
        <v>19421.919999999998</v>
      </c>
      <c r="BR65" s="180" t="str">
        <f t="shared" si="66"/>
        <v>D4B</v>
      </c>
      <c r="BS65" s="181">
        <v>25</v>
      </c>
      <c r="BT65" s="184">
        <v>22665.03</v>
      </c>
      <c r="BU65" s="180" t="str">
        <f t="shared" si="67"/>
        <v>D1C</v>
      </c>
      <c r="BV65" s="181">
        <v>25</v>
      </c>
      <c r="BW65" s="184">
        <v>16811.759999999998</v>
      </c>
      <c r="BX65" s="180" t="str">
        <f t="shared" si="68"/>
        <v>D2C</v>
      </c>
      <c r="BY65" s="181">
        <v>25</v>
      </c>
      <c r="BZ65" s="184">
        <v>17664.349999999999</v>
      </c>
      <c r="CA65" s="180" t="str">
        <f t="shared" si="69"/>
        <v>D3C</v>
      </c>
      <c r="CB65" s="181">
        <v>25</v>
      </c>
      <c r="CC65" s="184">
        <v>19421.919999999998</v>
      </c>
      <c r="CD65" s="180" t="str">
        <f t="shared" si="70"/>
        <v>D4C</v>
      </c>
      <c r="CE65" s="181">
        <v>25</v>
      </c>
      <c r="CF65" s="184">
        <v>22665.03</v>
      </c>
    </row>
    <row r="66" spans="1:84" x14ac:dyDescent="0.2">
      <c r="A66" s="180" t="str">
        <f t="shared" si="43"/>
        <v>CC1</v>
      </c>
      <c r="B66" s="181">
        <v>26</v>
      </c>
      <c r="C66" s="184">
        <v>21400.799999999999</v>
      </c>
      <c r="D66" s="180" t="str">
        <f t="shared" si="44"/>
        <v>CC2</v>
      </c>
      <c r="E66" s="181">
        <v>26</v>
      </c>
      <c r="F66" s="184">
        <v>22900.799999999999</v>
      </c>
      <c r="G66" s="180" t="str">
        <f t="shared" si="45"/>
        <v>CC3</v>
      </c>
      <c r="H66" s="181">
        <v>26</v>
      </c>
      <c r="I66" s="184">
        <v>24400.799999999999</v>
      </c>
      <c r="J66" s="180" t="str">
        <f t="shared" si="46"/>
        <v>CC4</v>
      </c>
      <c r="K66" s="181">
        <v>26</v>
      </c>
      <c r="L66" s="184">
        <v>26201.040000000001</v>
      </c>
      <c r="M66" s="180" t="str">
        <f t="shared" si="47"/>
        <v>C1A</v>
      </c>
      <c r="N66" s="181">
        <v>26</v>
      </c>
      <c r="O66" s="184">
        <v>21685.11</v>
      </c>
      <c r="P66" s="180" t="str">
        <f t="shared" si="48"/>
        <v>C2A</v>
      </c>
      <c r="Q66" s="181">
        <v>26</v>
      </c>
      <c r="R66" s="184">
        <v>23185.11</v>
      </c>
      <c r="S66" s="180" t="str">
        <f t="shared" si="49"/>
        <v>C3A</v>
      </c>
      <c r="T66" s="181">
        <v>26</v>
      </c>
      <c r="U66" s="184">
        <v>24685.11</v>
      </c>
      <c r="V66" s="180" t="str">
        <f t="shared" si="50"/>
        <v>C4A</v>
      </c>
      <c r="W66" s="181">
        <v>26</v>
      </c>
      <c r="X66" s="184">
        <v>26357.41</v>
      </c>
      <c r="Y66" s="180" t="str">
        <f t="shared" si="51"/>
        <v>C1D</v>
      </c>
      <c r="Z66" s="181">
        <v>26</v>
      </c>
      <c r="AA66" s="184">
        <v>22515.56</v>
      </c>
      <c r="AB66" s="180" t="str">
        <f t="shared" si="52"/>
        <v>C2D</v>
      </c>
      <c r="AC66" s="181">
        <v>26</v>
      </c>
      <c r="AD66" s="184">
        <v>23210.16</v>
      </c>
      <c r="AE66" s="180" t="str">
        <f t="shared" si="53"/>
        <v>C3D</v>
      </c>
      <c r="AF66" s="181">
        <v>26</v>
      </c>
      <c r="AG66" s="184">
        <v>25295.61</v>
      </c>
      <c r="AH66" s="180" t="str">
        <f t="shared" si="54"/>
        <v>C4D</v>
      </c>
      <c r="AI66" s="181">
        <v>26</v>
      </c>
      <c r="AJ66" s="184">
        <v>26350.9</v>
      </c>
      <c r="AK66" s="180" t="str">
        <f t="shared" si="55"/>
        <v>DD1</v>
      </c>
      <c r="AL66" s="181">
        <v>26</v>
      </c>
      <c r="AM66" s="184">
        <v>13592.77</v>
      </c>
      <c r="AN66" s="180" t="str">
        <f t="shared" si="56"/>
        <v>DD2</v>
      </c>
      <c r="AO66" s="181">
        <v>26</v>
      </c>
      <c r="AP66" s="184">
        <v>14545.13</v>
      </c>
      <c r="AQ66" s="180" t="str">
        <f t="shared" si="57"/>
        <v>DD3</v>
      </c>
      <c r="AR66" s="181">
        <v>26</v>
      </c>
      <c r="AS66" s="184">
        <v>15545.13</v>
      </c>
      <c r="AT66" s="180" t="str">
        <f t="shared" si="58"/>
        <v>DD4</v>
      </c>
      <c r="AU66" s="181">
        <v>26</v>
      </c>
      <c r="AV66" s="184">
        <v>16545.13</v>
      </c>
      <c r="AW66" s="180" t="str">
        <f t="shared" si="59"/>
        <v>D1A</v>
      </c>
      <c r="AX66" s="181">
        <v>26</v>
      </c>
      <c r="AY66" s="184">
        <v>16212.54</v>
      </c>
      <c r="AZ66" s="180" t="str">
        <f t="shared" si="60"/>
        <v>D2A</v>
      </c>
      <c r="BA66" s="181">
        <v>26</v>
      </c>
      <c r="BB66" s="184">
        <v>17400.71</v>
      </c>
      <c r="BC66" s="180" t="str">
        <f t="shared" si="61"/>
        <v>D3A</v>
      </c>
      <c r="BD66" s="181">
        <v>26</v>
      </c>
      <c r="BE66" s="184">
        <v>18458.03</v>
      </c>
      <c r="BF66" s="180" t="str">
        <f t="shared" si="62"/>
        <v>D4A</v>
      </c>
      <c r="BG66" s="181">
        <v>26</v>
      </c>
      <c r="BH66" s="184">
        <v>19799.57</v>
      </c>
      <c r="BI66" s="180" t="str">
        <f t="shared" si="63"/>
        <v>D1B</v>
      </c>
      <c r="BJ66" s="181">
        <v>26</v>
      </c>
      <c r="BK66" s="184">
        <v>16811.759999999998</v>
      </c>
      <c r="BL66" s="180" t="str">
        <f t="shared" si="64"/>
        <v>D2B</v>
      </c>
      <c r="BM66" s="181">
        <v>26</v>
      </c>
      <c r="BN66" s="184">
        <v>17817.099999999999</v>
      </c>
      <c r="BO66" s="180" t="str">
        <f t="shared" si="65"/>
        <v>D3B</v>
      </c>
      <c r="BP66" s="181">
        <v>26</v>
      </c>
      <c r="BQ66" s="184">
        <v>19421.919999999998</v>
      </c>
      <c r="BR66" s="180" t="str">
        <f t="shared" si="66"/>
        <v>D4B</v>
      </c>
      <c r="BS66" s="181">
        <v>26</v>
      </c>
      <c r="BT66" s="184">
        <v>22665.03</v>
      </c>
      <c r="BU66" s="180" t="str">
        <f t="shared" si="67"/>
        <v>D1C</v>
      </c>
      <c r="BV66" s="181">
        <v>26</v>
      </c>
      <c r="BW66" s="184">
        <v>16811.759999999998</v>
      </c>
      <c r="BX66" s="180" t="str">
        <f t="shared" si="68"/>
        <v>D2C</v>
      </c>
      <c r="BY66" s="181">
        <v>26</v>
      </c>
      <c r="BZ66" s="184">
        <v>17664.349999999999</v>
      </c>
      <c r="CA66" s="180" t="str">
        <f t="shared" si="69"/>
        <v>D3C</v>
      </c>
      <c r="CB66" s="181">
        <v>26</v>
      </c>
      <c r="CC66" s="184">
        <v>19421.919999999998</v>
      </c>
      <c r="CD66" s="180" t="str">
        <f t="shared" si="70"/>
        <v>D4C</v>
      </c>
      <c r="CE66" s="181">
        <v>26</v>
      </c>
      <c r="CF66" s="184">
        <v>22665.03</v>
      </c>
    </row>
    <row r="67" spans="1:84" x14ac:dyDescent="0.2">
      <c r="A67" s="180" t="str">
        <f t="shared" si="43"/>
        <v>CC1</v>
      </c>
      <c r="B67" s="181">
        <v>27</v>
      </c>
      <c r="C67" s="184">
        <v>22024.41</v>
      </c>
      <c r="D67" s="180" t="str">
        <f t="shared" si="44"/>
        <v>CC2</v>
      </c>
      <c r="E67" s="181">
        <v>27</v>
      </c>
      <c r="F67" s="184">
        <v>23524.41</v>
      </c>
      <c r="G67" s="180" t="str">
        <f t="shared" si="45"/>
        <v>CC3</v>
      </c>
      <c r="H67" s="181">
        <v>27</v>
      </c>
      <c r="I67" s="184">
        <v>25024.41</v>
      </c>
      <c r="J67" s="180" t="str">
        <f t="shared" si="46"/>
        <v>CC4</v>
      </c>
      <c r="K67" s="181">
        <v>27</v>
      </c>
      <c r="L67" s="184">
        <v>26633.58</v>
      </c>
      <c r="M67" s="180" t="str">
        <f t="shared" si="47"/>
        <v>C1A</v>
      </c>
      <c r="N67" s="181">
        <v>27</v>
      </c>
      <c r="O67" s="184">
        <v>22308.720000000001</v>
      </c>
      <c r="P67" s="180" t="str">
        <f t="shared" si="48"/>
        <v>C2A</v>
      </c>
      <c r="Q67" s="181">
        <v>27</v>
      </c>
      <c r="R67" s="184">
        <v>23808.720000000001</v>
      </c>
      <c r="S67" s="180" t="str">
        <f t="shared" si="49"/>
        <v>C3A</v>
      </c>
      <c r="T67" s="181">
        <v>27</v>
      </c>
      <c r="U67" s="184">
        <v>25308.720000000001</v>
      </c>
      <c r="V67" s="180" t="str">
        <f t="shared" si="50"/>
        <v>C4A</v>
      </c>
      <c r="W67" s="181">
        <v>27</v>
      </c>
      <c r="X67" s="184">
        <v>26808.720000000001</v>
      </c>
      <c r="Y67" s="180" t="str">
        <f t="shared" si="51"/>
        <v>C1D</v>
      </c>
      <c r="Z67" s="181">
        <v>27</v>
      </c>
      <c r="AA67" s="184">
        <v>23050.69</v>
      </c>
      <c r="AB67" s="180" t="str">
        <f t="shared" si="52"/>
        <v>C2D</v>
      </c>
      <c r="AC67" s="181">
        <v>27</v>
      </c>
      <c r="AD67" s="184">
        <v>23833.77</v>
      </c>
      <c r="AE67" s="180" t="str">
        <f t="shared" si="53"/>
        <v>C3D</v>
      </c>
      <c r="AF67" s="181">
        <v>27</v>
      </c>
      <c r="AG67" s="184">
        <v>25919.22</v>
      </c>
      <c r="AH67" s="180" t="str">
        <f t="shared" si="54"/>
        <v>C4D</v>
      </c>
      <c r="AI67" s="181">
        <v>27</v>
      </c>
      <c r="AJ67" s="184">
        <v>26796.880000000001</v>
      </c>
      <c r="AK67" s="180" t="str">
        <f t="shared" si="55"/>
        <v>DD1</v>
      </c>
      <c r="AL67" s="181">
        <v>27</v>
      </c>
      <c r="AM67" s="184">
        <v>13674.99</v>
      </c>
      <c r="AN67" s="180" t="str">
        <f t="shared" si="56"/>
        <v>DD2</v>
      </c>
      <c r="AO67" s="181">
        <v>27</v>
      </c>
      <c r="AP67" s="184">
        <v>14672.52</v>
      </c>
      <c r="AQ67" s="180" t="str">
        <f t="shared" si="57"/>
        <v>DD3</v>
      </c>
      <c r="AR67" s="181">
        <v>27</v>
      </c>
      <c r="AS67" s="184">
        <v>15672.52</v>
      </c>
      <c r="AT67" s="180" t="str">
        <f t="shared" si="58"/>
        <v>DD4</v>
      </c>
      <c r="AU67" s="181">
        <v>27</v>
      </c>
      <c r="AV67" s="184">
        <v>16672.52</v>
      </c>
      <c r="AW67" s="180" t="str">
        <f t="shared" si="59"/>
        <v>D1A</v>
      </c>
      <c r="AX67" s="181">
        <v>27</v>
      </c>
      <c r="AY67" s="184">
        <v>16536.650000000001</v>
      </c>
      <c r="AZ67" s="180" t="str">
        <f t="shared" si="60"/>
        <v>D2A</v>
      </c>
      <c r="BA67" s="181">
        <v>27</v>
      </c>
      <c r="BB67" s="184">
        <v>17749.759999999998</v>
      </c>
      <c r="BC67" s="180" t="str">
        <f t="shared" si="61"/>
        <v>D3A</v>
      </c>
      <c r="BD67" s="181">
        <v>27</v>
      </c>
      <c r="BE67" s="184">
        <v>18807.080000000002</v>
      </c>
      <c r="BF67" s="180" t="str">
        <f t="shared" si="62"/>
        <v>D4A</v>
      </c>
      <c r="BG67" s="181">
        <v>27</v>
      </c>
      <c r="BH67" s="184">
        <v>20046.439999999999</v>
      </c>
      <c r="BI67" s="180" t="str">
        <f t="shared" si="63"/>
        <v>D1B</v>
      </c>
      <c r="BJ67" s="181">
        <v>27</v>
      </c>
      <c r="BK67" s="184">
        <v>17160.810000000001</v>
      </c>
      <c r="BL67" s="180" t="str">
        <f t="shared" si="64"/>
        <v>D2B</v>
      </c>
      <c r="BM67" s="181">
        <v>27</v>
      </c>
      <c r="BN67" s="184">
        <v>18166.150000000001</v>
      </c>
      <c r="BO67" s="180" t="str">
        <f t="shared" si="65"/>
        <v>D3B</v>
      </c>
      <c r="BP67" s="181">
        <v>27</v>
      </c>
      <c r="BQ67" s="184">
        <v>19770.97</v>
      </c>
      <c r="BR67" s="180" t="str">
        <f t="shared" si="66"/>
        <v>D4B</v>
      </c>
      <c r="BS67" s="181">
        <v>27</v>
      </c>
      <c r="BT67" s="184">
        <v>23018.06</v>
      </c>
      <c r="BU67" s="180" t="str">
        <f t="shared" si="67"/>
        <v>D1C</v>
      </c>
      <c r="BV67" s="181">
        <v>27</v>
      </c>
      <c r="BW67" s="184">
        <v>17160.810000000001</v>
      </c>
      <c r="BX67" s="180" t="str">
        <f t="shared" si="68"/>
        <v>D2C</v>
      </c>
      <c r="BY67" s="181">
        <v>27</v>
      </c>
      <c r="BZ67" s="184">
        <v>18013.400000000001</v>
      </c>
      <c r="CA67" s="180" t="str">
        <f t="shared" si="69"/>
        <v>D3C</v>
      </c>
      <c r="CB67" s="181">
        <v>27</v>
      </c>
      <c r="CC67" s="184">
        <v>19770.97</v>
      </c>
      <c r="CD67" s="180" t="str">
        <f t="shared" si="70"/>
        <v>D4C</v>
      </c>
      <c r="CE67" s="181">
        <v>27</v>
      </c>
      <c r="CF67" s="184">
        <v>23018.06</v>
      </c>
    </row>
    <row r="68" spans="1:84" x14ac:dyDescent="0.2">
      <c r="A68" s="180" t="str">
        <f t="shared" si="43"/>
        <v>CC1</v>
      </c>
      <c r="B68" s="181">
        <v>28</v>
      </c>
      <c r="C68" s="184">
        <v>22024.41</v>
      </c>
      <c r="D68" s="180" t="str">
        <f t="shared" si="44"/>
        <v>CC2</v>
      </c>
      <c r="E68" s="181">
        <v>28</v>
      </c>
      <c r="F68" s="184">
        <v>23524.41</v>
      </c>
      <c r="G68" s="180" t="str">
        <f t="shared" si="45"/>
        <v>CC3</v>
      </c>
      <c r="H68" s="181">
        <v>28</v>
      </c>
      <c r="I68" s="184">
        <v>25024.41</v>
      </c>
      <c r="J68" s="180" t="str">
        <f t="shared" si="46"/>
        <v>CC4</v>
      </c>
      <c r="K68" s="181">
        <v>28</v>
      </c>
      <c r="L68" s="184">
        <v>26723.58</v>
      </c>
      <c r="M68" s="180" t="str">
        <f t="shared" si="47"/>
        <v>C1A</v>
      </c>
      <c r="N68" s="181">
        <v>28</v>
      </c>
      <c r="O68" s="184">
        <v>22308.720000000001</v>
      </c>
      <c r="P68" s="180" t="str">
        <f t="shared" si="48"/>
        <v>C2A</v>
      </c>
      <c r="Q68" s="181">
        <v>28</v>
      </c>
      <c r="R68" s="184">
        <v>23808.720000000001</v>
      </c>
      <c r="S68" s="180" t="str">
        <f t="shared" si="49"/>
        <v>C3A</v>
      </c>
      <c r="T68" s="181">
        <v>28</v>
      </c>
      <c r="U68" s="184">
        <v>25308.720000000001</v>
      </c>
      <c r="V68" s="180" t="str">
        <f t="shared" si="50"/>
        <v>C4A</v>
      </c>
      <c r="W68" s="181">
        <v>28</v>
      </c>
      <c r="X68" s="184">
        <v>26879.95</v>
      </c>
      <c r="Y68" s="180" t="str">
        <f t="shared" si="51"/>
        <v>C1D</v>
      </c>
      <c r="Z68" s="181">
        <v>28</v>
      </c>
      <c r="AA68" s="184">
        <v>23050.69</v>
      </c>
      <c r="AB68" s="180" t="str">
        <f t="shared" si="52"/>
        <v>C2D</v>
      </c>
      <c r="AC68" s="181">
        <v>28</v>
      </c>
      <c r="AD68" s="184">
        <v>23833.77</v>
      </c>
      <c r="AE68" s="180" t="str">
        <f t="shared" si="53"/>
        <v>C3D</v>
      </c>
      <c r="AF68" s="181">
        <v>28</v>
      </c>
      <c r="AG68" s="184">
        <v>25919.22</v>
      </c>
      <c r="AH68" s="180" t="str">
        <f t="shared" si="54"/>
        <v>C4D</v>
      </c>
      <c r="AI68" s="181">
        <v>28</v>
      </c>
      <c r="AJ68" s="184">
        <v>26873.43</v>
      </c>
      <c r="AK68" s="180" t="str">
        <f t="shared" si="55"/>
        <v>DD1</v>
      </c>
      <c r="AL68" s="181">
        <v>28</v>
      </c>
      <c r="AM68" s="184">
        <v>13687.14</v>
      </c>
      <c r="AN68" s="180" t="str">
        <f t="shared" si="56"/>
        <v>DD2</v>
      </c>
      <c r="AO68" s="181">
        <v>28</v>
      </c>
      <c r="AP68" s="184">
        <v>14672.52</v>
      </c>
      <c r="AQ68" s="180" t="str">
        <f t="shared" si="57"/>
        <v>DD3</v>
      </c>
      <c r="AR68" s="181">
        <v>28</v>
      </c>
      <c r="AS68" s="184">
        <v>15672.52</v>
      </c>
      <c r="AT68" s="180" t="str">
        <f t="shared" si="58"/>
        <v>DD4</v>
      </c>
      <c r="AU68" s="181">
        <v>28</v>
      </c>
      <c r="AV68" s="184">
        <v>16672.52</v>
      </c>
      <c r="AW68" s="180" t="str">
        <f t="shared" si="59"/>
        <v>D1A</v>
      </c>
      <c r="AX68" s="181">
        <v>28</v>
      </c>
      <c r="AY68" s="184">
        <v>16536.650000000001</v>
      </c>
      <c r="AZ68" s="180" t="str">
        <f t="shared" si="60"/>
        <v>D2A</v>
      </c>
      <c r="BA68" s="181">
        <v>28</v>
      </c>
      <c r="BB68" s="184">
        <v>17749.759999999998</v>
      </c>
      <c r="BC68" s="180" t="str">
        <f t="shared" si="61"/>
        <v>D3A</v>
      </c>
      <c r="BD68" s="181">
        <v>28</v>
      </c>
      <c r="BE68" s="184">
        <v>18807.080000000002</v>
      </c>
      <c r="BF68" s="180" t="str">
        <f t="shared" si="62"/>
        <v>D4A</v>
      </c>
      <c r="BG68" s="181">
        <v>28</v>
      </c>
      <c r="BH68" s="184">
        <v>20100.89</v>
      </c>
      <c r="BI68" s="180" t="str">
        <f t="shared" si="63"/>
        <v>D1B</v>
      </c>
      <c r="BJ68" s="181">
        <v>28</v>
      </c>
      <c r="BK68" s="184">
        <v>17160.810000000001</v>
      </c>
      <c r="BL68" s="180" t="str">
        <f t="shared" si="64"/>
        <v>D2B</v>
      </c>
      <c r="BM68" s="181">
        <v>28</v>
      </c>
      <c r="BN68" s="184">
        <v>18166.150000000001</v>
      </c>
      <c r="BO68" s="180" t="str">
        <f t="shared" si="65"/>
        <v>D3B</v>
      </c>
      <c r="BP68" s="181">
        <v>28</v>
      </c>
      <c r="BQ68" s="184">
        <v>19770.97</v>
      </c>
      <c r="BR68" s="180" t="str">
        <f t="shared" si="66"/>
        <v>D4B</v>
      </c>
      <c r="BS68" s="181">
        <v>28</v>
      </c>
      <c r="BT68" s="184">
        <v>23018.06</v>
      </c>
      <c r="BU68" s="180" t="str">
        <f t="shared" si="67"/>
        <v>D1C</v>
      </c>
      <c r="BV68" s="181">
        <v>28</v>
      </c>
      <c r="BW68" s="184">
        <v>17160.810000000001</v>
      </c>
      <c r="BX68" s="180" t="str">
        <f t="shared" si="68"/>
        <v>D2C</v>
      </c>
      <c r="BY68" s="181">
        <v>28</v>
      </c>
      <c r="BZ68" s="184">
        <v>18013.400000000001</v>
      </c>
      <c r="CA68" s="180" t="str">
        <f t="shared" si="69"/>
        <v>D3C</v>
      </c>
      <c r="CB68" s="181">
        <v>28</v>
      </c>
      <c r="CC68" s="184">
        <v>19770.97</v>
      </c>
      <c r="CD68" s="180" t="str">
        <f t="shared" si="70"/>
        <v>D4C</v>
      </c>
      <c r="CE68" s="181">
        <v>28</v>
      </c>
      <c r="CF68" s="184">
        <v>23018.06</v>
      </c>
    </row>
    <row r="69" spans="1:84" x14ac:dyDescent="0.2">
      <c r="A69" s="180" t="str">
        <f t="shared" si="43"/>
        <v>CC1</v>
      </c>
      <c r="B69" s="181">
        <v>29</v>
      </c>
      <c r="C69" s="184">
        <v>22648.02</v>
      </c>
      <c r="D69" s="180" t="str">
        <f t="shared" si="44"/>
        <v>CC2</v>
      </c>
      <c r="E69" s="181">
        <v>29</v>
      </c>
      <c r="F69" s="184">
        <v>24148.02</v>
      </c>
      <c r="G69" s="180" t="str">
        <f t="shared" si="45"/>
        <v>CC3</v>
      </c>
      <c r="H69" s="181">
        <v>29</v>
      </c>
      <c r="I69" s="184">
        <v>25648.02</v>
      </c>
      <c r="J69" s="180" t="str">
        <f t="shared" si="46"/>
        <v>CC4</v>
      </c>
      <c r="K69" s="181">
        <v>29</v>
      </c>
      <c r="L69" s="184">
        <v>27031.9</v>
      </c>
      <c r="M69" s="180" t="str">
        <f t="shared" si="47"/>
        <v>C1A</v>
      </c>
      <c r="N69" s="181">
        <v>29</v>
      </c>
      <c r="O69" s="184">
        <v>22932.33</v>
      </c>
      <c r="P69" s="180" t="str">
        <f t="shared" si="48"/>
        <v>C2A</v>
      </c>
      <c r="Q69" s="181">
        <v>29</v>
      </c>
      <c r="R69" s="184">
        <v>24432.33</v>
      </c>
      <c r="S69" s="180" t="str">
        <f t="shared" si="49"/>
        <v>C3A</v>
      </c>
      <c r="T69" s="181">
        <v>29</v>
      </c>
      <c r="U69" s="184">
        <v>25932.33</v>
      </c>
      <c r="V69" s="180" t="str">
        <f t="shared" si="50"/>
        <v>C4A</v>
      </c>
      <c r="W69" s="181">
        <v>29</v>
      </c>
      <c r="X69" s="184">
        <v>28055.94</v>
      </c>
      <c r="Y69" s="180" t="str">
        <f t="shared" si="51"/>
        <v>C1D</v>
      </c>
      <c r="Z69" s="181">
        <v>29</v>
      </c>
      <c r="AA69" s="184">
        <v>23585.82</v>
      </c>
      <c r="AB69" s="180" t="str">
        <f t="shared" si="52"/>
        <v>C2D</v>
      </c>
      <c r="AC69" s="181">
        <v>29</v>
      </c>
      <c r="AD69" s="184">
        <v>24457.38</v>
      </c>
      <c r="AE69" s="180" t="str">
        <f t="shared" si="53"/>
        <v>C3D</v>
      </c>
      <c r="AF69" s="181">
        <v>29</v>
      </c>
      <c r="AG69" s="184">
        <v>27166.44</v>
      </c>
      <c r="AH69" s="180" t="str">
        <f t="shared" si="54"/>
        <v>C4D</v>
      </c>
      <c r="AI69" s="181">
        <v>29</v>
      </c>
      <c r="AJ69" s="184">
        <v>28044.1</v>
      </c>
      <c r="AK69" s="180" t="str">
        <f t="shared" si="55"/>
        <v>DD1</v>
      </c>
      <c r="AL69" s="181">
        <v>29</v>
      </c>
      <c r="AM69" s="184">
        <v>13699.29</v>
      </c>
      <c r="AN69" s="180" t="str">
        <f t="shared" si="56"/>
        <v>DD2</v>
      </c>
      <c r="AO69" s="181">
        <v>29</v>
      </c>
      <c r="AP69" s="184">
        <v>14672.52</v>
      </c>
      <c r="AQ69" s="180" t="str">
        <f t="shared" si="57"/>
        <v>DD3</v>
      </c>
      <c r="AR69" s="181">
        <v>29</v>
      </c>
      <c r="AS69" s="184">
        <v>15672.52</v>
      </c>
      <c r="AT69" s="180" t="str">
        <f t="shared" si="58"/>
        <v>DD4</v>
      </c>
      <c r="AU69" s="181">
        <v>29</v>
      </c>
      <c r="AV69" s="184">
        <v>16672.52</v>
      </c>
      <c r="AW69" s="180" t="str">
        <f t="shared" si="59"/>
        <v>D1A</v>
      </c>
      <c r="AX69" s="181">
        <v>29</v>
      </c>
      <c r="AY69" s="184">
        <v>16860.759999999998</v>
      </c>
      <c r="AZ69" s="180" t="str">
        <f t="shared" si="60"/>
        <v>D2A</v>
      </c>
      <c r="BA69" s="181">
        <v>29</v>
      </c>
      <c r="BB69" s="184">
        <v>18098.810000000001</v>
      </c>
      <c r="BC69" s="180" t="str">
        <f t="shared" si="61"/>
        <v>D3A</v>
      </c>
      <c r="BD69" s="181">
        <v>29</v>
      </c>
      <c r="BE69" s="184">
        <v>19505.18</v>
      </c>
      <c r="BF69" s="180" t="str">
        <f t="shared" si="62"/>
        <v>D4A</v>
      </c>
      <c r="BG69" s="181">
        <v>29</v>
      </c>
      <c r="BH69" s="184">
        <v>20539.75</v>
      </c>
      <c r="BI69" s="180" t="str">
        <f t="shared" si="63"/>
        <v>D1B</v>
      </c>
      <c r="BJ69" s="181">
        <v>29</v>
      </c>
      <c r="BK69" s="184">
        <v>17509.86</v>
      </c>
      <c r="BL69" s="180" t="str">
        <f t="shared" si="64"/>
        <v>D2B</v>
      </c>
      <c r="BM69" s="181">
        <v>29</v>
      </c>
      <c r="BN69" s="184">
        <v>18515.2</v>
      </c>
      <c r="BO69" s="180" t="str">
        <f t="shared" si="65"/>
        <v>D3B</v>
      </c>
      <c r="BP69" s="181">
        <v>29</v>
      </c>
      <c r="BQ69" s="184">
        <v>20469.07</v>
      </c>
      <c r="BR69" s="180" t="str">
        <f t="shared" si="66"/>
        <v>D4B</v>
      </c>
      <c r="BS69" s="181">
        <v>29</v>
      </c>
      <c r="BT69" s="184">
        <v>23724.12</v>
      </c>
      <c r="BU69" s="180" t="str">
        <f t="shared" si="67"/>
        <v>D1C</v>
      </c>
      <c r="BV69" s="181">
        <v>29</v>
      </c>
      <c r="BW69" s="184">
        <v>17509.86</v>
      </c>
      <c r="BX69" s="180" t="str">
        <f t="shared" si="68"/>
        <v>D2C</v>
      </c>
      <c r="BY69" s="181">
        <v>29</v>
      </c>
      <c r="BZ69" s="184">
        <v>18362.45</v>
      </c>
      <c r="CA69" s="180" t="str">
        <f t="shared" si="69"/>
        <v>D3C</v>
      </c>
      <c r="CB69" s="181">
        <v>29</v>
      </c>
      <c r="CC69" s="184">
        <v>20469.07</v>
      </c>
      <c r="CD69" s="180" t="str">
        <f t="shared" si="70"/>
        <v>D4C</v>
      </c>
      <c r="CE69" s="181">
        <v>29</v>
      </c>
      <c r="CF69" s="184">
        <v>23724.12</v>
      </c>
    </row>
    <row r="70" spans="1:84" x14ac:dyDescent="0.2">
      <c r="A70" s="180" t="str">
        <f t="shared" si="43"/>
        <v>CC1</v>
      </c>
      <c r="B70" s="181"/>
      <c r="C70" s="184">
        <f>C69</f>
        <v>22648.02</v>
      </c>
      <c r="D70" s="180" t="str">
        <f t="shared" si="44"/>
        <v>CC2</v>
      </c>
      <c r="E70" s="181"/>
      <c r="F70" s="184">
        <f>F69</f>
        <v>24148.02</v>
      </c>
      <c r="G70" s="180" t="str">
        <f t="shared" si="45"/>
        <v>CC3</v>
      </c>
      <c r="H70" s="181"/>
      <c r="I70" s="184">
        <f>I69</f>
        <v>25648.02</v>
      </c>
      <c r="J70" s="180" t="str">
        <f t="shared" si="46"/>
        <v>CC4</v>
      </c>
      <c r="K70" s="181"/>
      <c r="L70" s="184">
        <f>L69</f>
        <v>27031.9</v>
      </c>
      <c r="M70" s="180" t="str">
        <f t="shared" si="47"/>
        <v>C1A</v>
      </c>
      <c r="N70" s="181"/>
      <c r="O70" s="184">
        <f>O69</f>
        <v>22932.33</v>
      </c>
      <c r="P70" s="180" t="str">
        <f t="shared" si="48"/>
        <v>C2A</v>
      </c>
      <c r="Q70" s="181"/>
      <c r="R70" s="184">
        <f>R69</f>
        <v>24432.33</v>
      </c>
      <c r="S70" s="180" t="str">
        <f t="shared" si="49"/>
        <v>C3A</v>
      </c>
      <c r="T70" s="181"/>
      <c r="U70" s="184">
        <f>U69</f>
        <v>25932.33</v>
      </c>
      <c r="V70" s="180" t="str">
        <f t="shared" si="50"/>
        <v>C4A</v>
      </c>
      <c r="W70" s="181"/>
      <c r="X70" s="184">
        <f>X69</f>
        <v>28055.94</v>
      </c>
      <c r="Y70" s="180" t="str">
        <f t="shared" si="51"/>
        <v>C1D</v>
      </c>
      <c r="Z70" s="181"/>
      <c r="AA70" s="184">
        <f>AA69</f>
        <v>23585.82</v>
      </c>
      <c r="AB70" s="180" t="str">
        <f t="shared" si="52"/>
        <v>C2D</v>
      </c>
      <c r="AC70" s="181"/>
      <c r="AD70" s="184">
        <f>AD69</f>
        <v>24457.38</v>
      </c>
      <c r="AE70" s="180" t="str">
        <f t="shared" si="53"/>
        <v>C3D</v>
      </c>
      <c r="AF70" s="181"/>
      <c r="AG70" s="184">
        <f>AG69</f>
        <v>27166.44</v>
      </c>
      <c r="AH70" s="180" t="str">
        <f t="shared" si="54"/>
        <v>C4D</v>
      </c>
      <c r="AI70" s="181"/>
      <c r="AJ70" s="184">
        <f>AJ69</f>
        <v>28044.1</v>
      </c>
      <c r="AK70" s="180" t="str">
        <f t="shared" si="55"/>
        <v>DD1</v>
      </c>
      <c r="AL70" s="181"/>
      <c r="AM70" s="184">
        <f>AM69</f>
        <v>13699.29</v>
      </c>
      <c r="AN70" s="180" t="str">
        <f t="shared" si="56"/>
        <v>DD2</v>
      </c>
      <c r="AO70" s="181"/>
      <c r="AP70" s="184">
        <f>AP69</f>
        <v>14672.52</v>
      </c>
      <c r="AQ70" s="180" t="str">
        <f t="shared" si="57"/>
        <v>DD3</v>
      </c>
      <c r="AR70" s="181"/>
      <c r="AS70" s="184">
        <f>AS69</f>
        <v>15672.52</v>
      </c>
      <c r="AT70" s="180" t="str">
        <f t="shared" si="58"/>
        <v>DD4</v>
      </c>
      <c r="AU70" s="181"/>
      <c r="AV70" s="184">
        <f>AV69</f>
        <v>16672.52</v>
      </c>
      <c r="AW70" s="180" t="str">
        <f t="shared" si="59"/>
        <v>D1A</v>
      </c>
      <c r="AX70" s="181"/>
      <c r="AY70" s="184">
        <f>AY69</f>
        <v>16860.759999999998</v>
      </c>
      <c r="AZ70" s="180" t="str">
        <f t="shared" si="60"/>
        <v>D2A</v>
      </c>
      <c r="BA70" s="181"/>
      <c r="BB70" s="184">
        <f>BB69</f>
        <v>18098.810000000001</v>
      </c>
      <c r="BC70" s="180" t="str">
        <f t="shared" si="61"/>
        <v>D3A</v>
      </c>
      <c r="BD70" s="181"/>
      <c r="BE70" s="184">
        <f>BE69</f>
        <v>19505.18</v>
      </c>
      <c r="BF70" s="180" t="str">
        <f t="shared" si="62"/>
        <v>D4A</v>
      </c>
      <c r="BG70" s="181"/>
      <c r="BH70" s="184">
        <f>BH69</f>
        <v>20539.75</v>
      </c>
      <c r="BI70" s="180" t="str">
        <f t="shared" si="63"/>
        <v>D1B</v>
      </c>
      <c r="BJ70" s="181"/>
      <c r="BK70" s="184">
        <f>BK69</f>
        <v>17509.86</v>
      </c>
      <c r="BL70" s="180" t="str">
        <f t="shared" si="64"/>
        <v>D2B</v>
      </c>
      <c r="BM70" s="181"/>
      <c r="BN70" s="184">
        <f>BN69</f>
        <v>18515.2</v>
      </c>
      <c r="BO70" s="180" t="str">
        <f t="shared" si="65"/>
        <v>D3B</v>
      </c>
      <c r="BP70" s="181"/>
      <c r="BQ70" s="184">
        <f>BQ69</f>
        <v>20469.07</v>
      </c>
      <c r="BR70" s="180" t="str">
        <f t="shared" si="66"/>
        <v>D4B</v>
      </c>
      <c r="BS70" s="181"/>
      <c r="BT70" s="184">
        <f>BT69</f>
        <v>23724.12</v>
      </c>
      <c r="BU70" s="180" t="str">
        <f t="shared" si="67"/>
        <v>D1C</v>
      </c>
      <c r="BV70" s="181"/>
      <c r="BW70" s="184">
        <f>BW69</f>
        <v>17509.86</v>
      </c>
      <c r="BX70" s="180" t="str">
        <f t="shared" si="68"/>
        <v>D2C</v>
      </c>
      <c r="BY70" s="181"/>
      <c r="BZ70" s="184">
        <f>BZ69</f>
        <v>18362.45</v>
      </c>
      <c r="CA70" s="180" t="str">
        <f t="shared" si="69"/>
        <v>D3C</v>
      </c>
      <c r="CB70" s="181"/>
      <c r="CC70" s="184">
        <f>CC69</f>
        <v>20469.07</v>
      </c>
      <c r="CD70" s="180" t="str">
        <f t="shared" si="70"/>
        <v>D4C</v>
      </c>
      <c r="CE70" s="181"/>
      <c r="CF70" s="184">
        <f>CF69</f>
        <v>23724.12</v>
      </c>
    </row>
    <row r="71" spans="1:84" x14ac:dyDescent="0.2">
      <c r="A71" s="180"/>
      <c r="B71" s="181"/>
      <c r="C71" s="184"/>
      <c r="D71" s="180"/>
      <c r="E71" s="181"/>
      <c r="F71" s="184"/>
      <c r="G71" s="180"/>
      <c r="H71" s="181"/>
      <c r="I71" s="184"/>
      <c r="J71" s="180"/>
      <c r="K71" s="181"/>
      <c r="L71" s="184"/>
      <c r="M71" s="180"/>
      <c r="N71" s="181"/>
      <c r="O71" s="184"/>
      <c r="P71" s="180"/>
      <c r="Q71" s="181"/>
      <c r="R71" s="184"/>
      <c r="S71" s="180"/>
      <c r="T71" s="181"/>
      <c r="U71" s="184"/>
      <c r="V71" s="180"/>
      <c r="W71" s="181"/>
      <c r="X71" s="184"/>
      <c r="Y71" s="180"/>
      <c r="Z71" s="181"/>
      <c r="AA71" s="184"/>
      <c r="AB71" s="180"/>
      <c r="AC71" s="181"/>
      <c r="AD71" s="184"/>
      <c r="AE71" s="180"/>
      <c r="AF71" s="181"/>
      <c r="AG71" s="184"/>
      <c r="AH71" s="180"/>
      <c r="AI71" s="181"/>
      <c r="AJ71" s="184"/>
      <c r="AK71" s="180"/>
      <c r="AL71" s="181"/>
      <c r="AM71" s="184"/>
      <c r="AN71" s="180"/>
      <c r="AO71" s="181"/>
      <c r="AP71" s="184"/>
      <c r="AQ71" s="180"/>
      <c r="AR71" s="181"/>
      <c r="AS71" s="184"/>
      <c r="AT71" s="180"/>
      <c r="AU71" s="181"/>
      <c r="AV71" s="184"/>
      <c r="AW71" s="180"/>
      <c r="AX71" s="181"/>
      <c r="AY71" s="182"/>
      <c r="AZ71" s="180"/>
      <c r="BA71" s="181"/>
      <c r="BB71" s="182"/>
      <c r="BC71" s="180"/>
      <c r="BD71" s="181"/>
      <c r="BE71" s="182"/>
      <c r="BF71" s="180"/>
      <c r="BG71" s="181"/>
      <c r="BH71" s="182"/>
      <c r="BI71" s="180"/>
      <c r="BJ71" s="181"/>
      <c r="BK71" s="182"/>
      <c r="BL71" s="180"/>
      <c r="BM71" s="181"/>
      <c r="BN71" s="182"/>
      <c r="BO71" s="180"/>
      <c r="BP71" s="181"/>
      <c r="BQ71" s="182"/>
      <c r="BR71" s="180"/>
      <c r="BS71" s="181"/>
      <c r="BT71" s="182"/>
      <c r="BU71" s="180"/>
      <c r="BV71" s="181"/>
      <c r="BW71" s="182"/>
      <c r="BX71" s="180"/>
      <c r="BY71" s="181"/>
      <c r="BZ71" s="182"/>
      <c r="CA71" s="180"/>
      <c r="CB71" s="181"/>
      <c r="CC71" s="182"/>
      <c r="CD71" s="180"/>
      <c r="CE71" s="181"/>
      <c r="CF71" s="182"/>
    </row>
    <row r="72" spans="1:84" x14ac:dyDescent="0.2">
      <c r="A72" s="180"/>
      <c r="B72" s="181"/>
      <c r="C72" s="184"/>
      <c r="D72" s="180"/>
      <c r="E72" s="181"/>
      <c r="F72" s="184"/>
      <c r="G72" s="180"/>
      <c r="H72" s="181"/>
      <c r="I72" s="184"/>
      <c r="J72" s="180"/>
      <c r="K72" s="181"/>
      <c r="L72" s="184"/>
      <c r="M72" s="180"/>
      <c r="N72" s="181"/>
      <c r="O72" s="184"/>
      <c r="P72" s="180"/>
      <c r="Q72" s="181"/>
      <c r="R72" s="184"/>
      <c r="S72" s="180"/>
      <c r="T72" s="181"/>
      <c r="U72" s="184"/>
      <c r="V72" s="180"/>
      <c r="W72" s="181"/>
      <c r="X72" s="184"/>
      <c r="Y72" s="180"/>
      <c r="Z72" s="181"/>
      <c r="AA72" s="184"/>
      <c r="AB72" s="180"/>
      <c r="AC72" s="181"/>
      <c r="AD72" s="184"/>
      <c r="AE72" s="180"/>
      <c r="AF72" s="181"/>
      <c r="AG72" s="184"/>
      <c r="AH72" s="180"/>
      <c r="AI72" s="181"/>
      <c r="AJ72" s="184"/>
      <c r="AK72" s="180"/>
      <c r="AL72" s="181"/>
      <c r="AM72" s="184"/>
      <c r="AN72" s="180"/>
      <c r="AO72" s="181"/>
      <c r="AP72" s="184"/>
      <c r="AQ72" s="180"/>
      <c r="AR72" s="181"/>
      <c r="AS72" s="184"/>
      <c r="AT72" s="180"/>
      <c r="AU72" s="181"/>
      <c r="AV72" s="184"/>
      <c r="AW72" s="185"/>
      <c r="AX72" s="186"/>
      <c r="AY72" s="187"/>
      <c r="AZ72" s="185"/>
      <c r="BA72" s="186"/>
      <c r="BB72" s="187"/>
      <c r="BC72" s="185"/>
      <c r="BD72" s="186"/>
      <c r="BE72" s="187"/>
      <c r="BF72" s="185"/>
      <c r="BG72" s="186"/>
      <c r="BH72" s="187"/>
      <c r="BI72" s="185"/>
      <c r="BJ72" s="186"/>
      <c r="BK72" s="187"/>
      <c r="BL72" s="185"/>
      <c r="BM72" s="186"/>
      <c r="BN72" s="187"/>
      <c r="BO72" s="185"/>
      <c r="BP72" s="186"/>
      <c r="BQ72" s="187"/>
      <c r="BR72" s="185"/>
      <c r="BS72" s="186"/>
      <c r="BT72" s="187"/>
      <c r="BU72" s="185"/>
      <c r="BV72" s="186"/>
      <c r="BW72" s="187"/>
      <c r="BX72" s="185"/>
      <c r="BY72" s="186"/>
      <c r="BZ72" s="187"/>
      <c r="CA72" s="185"/>
      <c r="CB72" s="186"/>
      <c r="CC72" s="187"/>
      <c r="CD72" s="185"/>
      <c r="CE72" s="186"/>
      <c r="CF72" s="187"/>
    </row>
    <row r="73" spans="1:84" x14ac:dyDescent="0.2">
      <c r="A73" s="289"/>
      <c r="B73" s="289"/>
      <c r="C73" s="289"/>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row>
    <row r="74" spans="1:84" x14ac:dyDescent="0.2">
      <c r="A74" s="2"/>
      <c r="B74" s="2"/>
      <c r="C74" s="2"/>
    </row>
  </sheetData>
  <sheetProtection password="EC91" sheet="1" objects="1" scenarios="1"/>
  <mergeCells count="62">
    <mergeCell ref="AH1:AJ2"/>
    <mergeCell ref="A1:C2"/>
    <mergeCell ref="D1:F2"/>
    <mergeCell ref="G1:I2"/>
    <mergeCell ref="J1:L2"/>
    <mergeCell ref="M1:O2"/>
    <mergeCell ref="P1:R2"/>
    <mergeCell ref="S1:U2"/>
    <mergeCell ref="V1:X2"/>
    <mergeCell ref="Y1:AA2"/>
    <mergeCell ref="AB1:AD2"/>
    <mergeCell ref="AE1:AG2"/>
    <mergeCell ref="BR1:BT2"/>
    <mergeCell ref="AK1:AM2"/>
    <mergeCell ref="AN1:AP2"/>
    <mergeCell ref="AQ1:AS2"/>
    <mergeCell ref="AT1:AV2"/>
    <mergeCell ref="AW1:AY2"/>
    <mergeCell ref="AZ1:BB2"/>
    <mergeCell ref="BC1:BE2"/>
    <mergeCell ref="BF1:BH2"/>
    <mergeCell ref="BI1:BK2"/>
    <mergeCell ref="BL1:BN2"/>
    <mergeCell ref="BO1:BQ2"/>
    <mergeCell ref="CM1:CO2"/>
    <mergeCell ref="CP1:CR2"/>
    <mergeCell ref="CS1:CU2"/>
    <mergeCell ref="CV1:CX2"/>
    <mergeCell ref="A37:C38"/>
    <mergeCell ref="D37:F38"/>
    <mergeCell ref="G37:I38"/>
    <mergeCell ref="J37:L38"/>
    <mergeCell ref="M37:O38"/>
    <mergeCell ref="P37:R38"/>
    <mergeCell ref="BU1:BW2"/>
    <mergeCell ref="BX1:BZ2"/>
    <mergeCell ref="CA1:CC2"/>
    <mergeCell ref="CD1:CF2"/>
    <mergeCell ref="CG1:CI2"/>
    <mergeCell ref="CJ1:CL2"/>
    <mergeCell ref="AZ37:BB38"/>
    <mergeCell ref="S37:U38"/>
    <mergeCell ref="V37:X38"/>
    <mergeCell ref="Y37:AA38"/>
    <mergeCell ref="AB37:AD38"/>
    <mergeCell ref="AE37:AG38"/>
    <mergeCell ref="AH37:AJ38"/>
    <mergeCell ref="AK37:AM38"/>
    <mergeCell ref="AN37:AP38"/>
    <mergeCell ref="AQ37:AS38"/>
    <mergeCell ref="AT37:AV38"/>
    <mergeCell ref="AW37:AY38"/>
    <mergeCell ref="BU37:BW38"/>
    <mergeCell ref="BX37:BZ38"/>
    <mergeCell ref="CA37:CC38"/>
    <mergeCell ref="CD37:CF38"/>
    <mergeCell ref="BC37:BE38"/>
    <mergeCell ref="BF37:BH38"/>
    <mergeCell ref="BI37:BK38"/>
    <mergeCell ref="BL37:BN38"/>
    <mergeCell ref="BO37:BQ38"/>
    <mergeCell ref="BR37:BT3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R20"/>
  <sheetViews>
    <sheetView workbookViewId="0">
      <selection activeCell="B3" sqref="B3"/>
    </sheetView>
  </sheetViews>
  <sheetFormatPr defaultColWidth="8.85546875" defaultRowHeight="15" x14ac:dyDescent="0.25"/>
  <cols>
    <col min="1" max="3" width="8.85546875" customWidth="1"/>
    <col min="4" max="4" width="2.7109375" customWidth="1"/>
    <col min="5" max="6" width="8.85546875" customWidth="1"/>
    <col min="7" max="7" width="2.7109375" customWidth="1"/>
    <col min="8" max="9" width="8.85546875" customWidth="1"/>
    <col min="10" max="10" width="2.7109375" customWidth="1"/>
    <col min="11" max="12" width="8.85546875" customWidth="1"/>
    <col min="13" max="13" width="2.7109375" customWidth="1"/>
    <col min="14" max="15" width="8.85546875" customWidth="1"/>
    <col min="16" max="16" width="2.7109375" customWidth="1"/>
  </cols>
  <sheetData>
    <row r="1" spans="1:18" x14ac:dyDescent="0.25">
      <c r="A1" s="155" t="s">
        <v>171</v>
      </c>
      <c r="B1" s="485" t="s">
        <v>85</v>
      </c>
      <c r="C1" s="486"/>
      <c r="D1" s="161"/>
      <c r="E1" s="485" t="s">
        <v>86</v>
      </c>
      <c r="F1" s="486"/>
      <c r="G1" s="161"/>
      <c r="H1" s="485" t="s">
        <v>87</v>
      </c>
      <c r="I1" s="486"/>
      <c r="J1" s="161"/>
      <c r="K1" s="485" t="s">
        <v>88</v>
      </c>
      <c r="L1" s="486"/>
      <c r="M1" s="161"/>
      <c r="N1" s="485" t="s">
        <v>108</v>
      </c>
      <c r="O1" s="486"/>
      <c r="P1" s="161"/>
      <c r="Q1" s="194" t="s">
        <v>89</v>
      </c>
      <c r="R1" s="194"/>
    </row>
    <row r="2" spans="1:18" ht="15.75" thickBot="1" x14ac:dyDescent="0.3">
      <c r="A2" s="156" t="s">
        <v>172</v>
      </c>
      <c r="B2" s="192">
        <v>1</v>
      </c>
      <c r="C2" s="193" t="s">
        <v>54</v>
      </c>
      <c r="D2" s="162"/>
      <c r="E2" s="192">
        <v>1</v>
      </c>
      <c r="F2" s="193" t="s">
        <v>54</v>
      </c>
      <c r="G2" s="162"/>
      <c r="H2" s="192">
        <v>1</v>
      </c>
      <c r="I2" s="193" t="s">
        <v>54</v>
      </c>
      <c r="J2" s="162"/>
      <c r="K2" s="192">
        <v>1</v>
      </c>
      <c r="L2" s="193" t="s">
        <v>54</v>
      </c>
      <c r="M2" s="162"/>
      <c r="N2" s="192">
        <v>1</v>
      </c>
      <c r="O2" s="193" t="s">
        <v>54</v>
      </c>
      <c r="P2" s="162"/>
      <c r="Q2" s="192">
        <v>1</v>
      </c>
      <c r="R2" s="193" t="s">
        <v>54</v>
      </c>
    </row>
    <row r="3" spans="1:18" ht="15.75" thickTop="1" x14ac:dyDescent="0.25">
      <c r="A3" s="157" t="s">
        <v>90</v>
      </c>
      <c r="B3" s="159">
        <v>13409.11</v>
      </c>
      <c r="C3" s="159">
        <v>12735.61</v>
      </c>
      <c r="D3" s="163"/>
      <c r="E3" s="159">
        <v>13409.11</v>
      </c>
      <c r="F3" s="159">
        <v>12735.61</v>
      </c>
      <c r="G3" s="163"/>
      <c r="H3" s="159">
        <v>14965.16</v>
      </c>
      <c r="I3" s="159">
        <v>14256.61</v>
      </c>
      <c r="J3" s="163"/>
      <c r="K3" s="159">
        <v>16048.38</v>
      </c>
      <c r="L3" s="159">
        <v>15922.55</v>
      </c>
      <c r="M3" s="163"/>
      <c r="N3" s="159">
        <v>17924.689999999999</v>
      </c>
      <c r="O3" s="159">
        <v>17727.29</v>
      </c>
      <c r="P3" s="163"/>
      <c r="Q3" s="159">
        <v>19710.59</v>
      </c>
      <c r="R3" s="159">
        <v>19515.45</v>
      </c>
    </row>
    <row r="4" spans="1:18" x14ac:dyDescent="0.25">
      <c r="A4" s="158" t="s">
        <v>91</v>
      </c>
      <c r="B4" s="160">
        <v>13802.89</v>
      </c>
      <c r="C4" s="160">
        <v>13000.56</v>
      </c>
      <c r="D4" s="163"/>
      <c r="E4" s="160">
        <v>13802.89</v>
      </c>
      <c r="F4" s="160">
        <v>13088.54</v>
      </c>
      <c r="G4" s="163"/>
      <c r="H4" s="160">
        <v>15326.72</v>
      </c>
      <c r="I4" s="160">
        <v>14698.09</v>
      </c>
      <c r="J4" s="163"/>
      <c r="K4" s="160">
        <v>16481.259999999998</v>
      </c>
      <c r="L4" s="160">
        <v>16364.03</v>
      </c>
      <c r="M4" s="163"/>
      <c r="N4" s="160">
        <v>18361.88</v>
      </c>
      <c r="O4" s="160">
        <v>18168.77</v>
      </c>
      <c r="P4" s="163"/>
      <c r="Q4" s="160">
        <v>20156.48</v>
      </c>
      <c r="R4" s="160">
        <v>19956.93</v>
      </c>
    </row>
    <row r="5" spans="1:18" x14ac:dyDescent="0.25">
      <c r="A5" s="158" t="s">
        <v>92</v>
      </c>
      <c r="B5" s="160">
        <v>14196.67</v>
      </c>
      <c r="C5" s="160">
        <v>13265.51</v>
      </c>
      <c r="D5" s="163"/>
      <c r="E5" s="160">
        <v>14196.67</v>
      </c>
      <c r="F5" s="160">
        <v>13441.47</v>
      </c>
      <c r="G5" s="163"/>
      <c r="H5" s="160">
        <v>15688.28</v>
      </c>
      <c r="I5" s="160">
        <v>15139.57</v>
      </c>
      <c r="J5" s="163"/>
      <c r="K5" s="160">
        <v>16914.14</v>
      </c>
      <c r="L5" s="160">
        <v>16805.509999999998</v>
      </c>
      <c r="M5" s="163"/>
      <c r="N5" s="160">
        <v>18799.07</v>
      </c>
      <c r="O5" s="160">
        <v>18610.25</v>
      </c>
      <c r="P5" s="163"/>
      <c r="Q5" s="160">
        <v>20602.37</v>
      </c>
      <c r="R5" s="160">
        <v>20398.41</v>
      </c>
    </row>
    <row r="6" spans="1:18" x14ac:dyDescent="0.25">
      <c r="A6" s="158" t="s">
        <v>93</v>
      </c>
      <c r="B6" s="160">
        <v>14590.45</v>
      </c>
      <c r="C6" s="160">
        <v>13530.46</v>
      </c>
      <c r="D6" s="163"/>
      <c r="E6" s="160">
        <v>14590.45</v>
      </c>
      <c r="F6" s="160">
        <v>13794.4</v>
      </c>
      <c r="G6" s="163"/>
      <c r="H6" s="160">
        <v>16049.84</v>
      </c>
      <c r="I6" s="160">
        <v>15581.05</v>
      </c>
      <c r="J6" s="163"/>
      <c r="K6" s="160">
        <v>17347.02</v>
      </c>
      <c r="L6" s="160">
        <v>17246.990000000002</v>
      </c>
      <c r="M6" s="163"/>
      <c r="N6" s="160">
        <v>19242.23</v>
      </c>
      <c r="O6" s="160">
        <v>19051.73</v>
      </c>
      <c r="P6" s="163"/>
      <c r="Q6" s="160">
        <v>21048.26</v>
      </c>
      <c r="R6" s="160">
        <v>20839.89</v>
      </c>
    </row>
    <row r="7" spans="1:18" x14ac:dyDescent="0.25">
      <c r="A7" s="158" t="s">
        <v>94</v>
      </c>
      <c r="B7" s="160"/>
      <c r="C7" s="160">
        <v>13795.41</v>
      </c>
      <c r="D7" s="163"/>
      <c r="E7" s="160"/>
      <c r="F7" s="160">
        <v>14147.33</v>
      </c>
      <c r="G7" s="163"/>
      <c r="H7" s="160"/>
      <c r="I7" s="160"/>
      <c r="J7" s="163"/>
      <c r="K7" s="160"/>
      <c r="L7" s="160"/>
      <c r="M7" s="163"/>
      <c r="N7" s="160"/>
      <c r="O7" s="160"/>
      <c r="P7" s="163"/>
      <c r="Q7" s="160"/>
      <c r="R7" s="160"/>
    </row>
    <row r="8" spans="1:18" x14ac:dyDescent="0.25">
      <c r="A8" s="158" t="s">
        <v>95</v>
      </c>
      <c r="B8" s="160">
        <v>15167.43</v>
      </c>
      <c r="C8" s="160">
        <v>14060.36</v>
      </c>
      <c r="D8" s="163"/>
      <c r="E8" s="160">
        <v>15345.24</v>
      </c>
      <c r="F8" s="160">
        <v>14500.26</v>
      </c>
      <c r="G8" s="163"/>
      <c r="H8" s="160">
        <v>16752.87</v>
      </c>
      <c r="I8" s="160">
        <v>15948.95</v>
      </c>
      <c r="J8" s="163"/>
      <c r="K8" s="160">
        <v>17912.79</v>
      </c>
      <c r="L8" s="160">
        <v>17688.47</v>
      </c>
      <c r="M8" s="163"/>
      <c r="N8" s="160">
        <v>19985.919999999998</v>
      </c>
      <c r="O8" s="160">
        <v>19493.21</v>
      </c>
      <c r="P8" s="163"/>
      <c r="Q8" s="160">
        <v>21494.94</v>
      </c>
      <c r="R8" s="160">
        <v>21207.79</v>
      </c>
    </row>
    <row r="9" spans="1:18" x14ac:dyDescent="0.25">
      <c r="A9" s="158" t="s">
        <v>96</v>
      </c>
      <c r="B9" s="160">
        <v>15744.41</v>
      </c>
      <c r="C9" s="160">
        <v>14315.77</v>
      </c>
      <c r="D9" s="163"/>
      <c r="E9" s="160">
        <v>16100.03</v>
      </c>
      <c r="F9" s="160">
        <v>15038.91</v>
      </c>
      <c r="G9" s="163"/>
      <c r="H9" s="160">
        <v>17452.830000000002</v>
      </c>
      <c r="I9" s="160">
        <v>16316.85</v>
      </c>
      <c r="J9" s="163"/>
      <c r="K9" s="160">
        <v>18478.560000000001</v>
      </c>
      <c r="L9" s="160">
        <v>18129.95</v>
      </c>
      <c r="M9" s="163"/>
      <c r="N9" s="160">
        <v>20729.61</v>
      </c>
      <c r="O9" s="160">
        <v>19934.689999999999</v>
      </c>
      <c r="P9" s="163"/>
      <c r="Q9" s="160">
        <v>21941.62</v>
      </c>
      <c r="R9" s="160">
        <v>21575.69</v>
      </c>
    </row>
    <row r="10" spans="1:18" x14ac:dyDescent="0.25">
      <c r="A10" s="158" t="s">
        <v>97</v>
      </c>
      <c r="B10" s="160">
        <v>16321.39</v>
      </c>
      <c r="C10" s="160">
        <v>14571.18</v>
      </c>
      <c r="D10" s="163"/>
      <c r="E10" s="160">
        <v>16854.82</v>
      </c>
      <c r="F10" s="160">
        <v>15577.56</v>
      </c>
      <c r="G10" s="163"/>
      <c r="H10" s="160">
        <v>18152.79</v>
      </c>
      <c r="I10" s="160">
        <v>16758.330000000002</v>
      </c>
      <c r="J10" s="163"/>
      <c r="K10" s="160">
        <v>19044.330000000002</v>
      </c>
      <c r="L10" s="160">
        <v>18571.43</v>
      </c>
      <c r="M10" s="163"/>
      <c r="N10" s="160">
        <v>21473.3</v>
      </c>
      <c r="O10" s="160">
        <v>20376.169999999998</v>
      </c>
      <c r="P10" s="163"/>
      <c r="Q10" s="160">
        <v>22388.3</v>
      </c>
      <c r="R10" s="160">
        <v>21943.59</v>
      </c>
    </row>
    <row r="11" spans="1:18" x14ac:dyDescent="0.25">
      <c r="A11" s="158" t="s">
        <v>98</v>
      </c>
      <c r="B11" s="160">
        <v>16898.37</v>
      </c>
      <c r="C11" s="160">
        <v>14953.78</v>
      </c>
      <c r="D11" s="163"/>
      <c r="E11" s="160">
        <v>17609.61</v>
      </c>
      <c r="F11" s="160">
        <v>16317.7</v>
      </c>
      <c r="G11" s="163"/>
      <c r="H11" s="160">
        <v>18852.75</v>
      </c>
      <c r="I11" s="160">
        <v>17199.810000000001</v>
      </c>
      <c r="J11" s="163"/>
      <c r="K11" s="160">
        <v>19610.099999999999</v>
      </c>
      <c r="L11" s="160">
        <v>19012.91</v>
      </c>
      <c r="M11" s="163"/>
      <c r="N11" s="160">
        <v>22216.99</v>
      </c>
      <c r="O11" s="160">
        <v>20817.650000000001</v>
      </c>
      <c r="P11" s="163"/>
      <c r="Q11" s="160">
        <v>22834.98</v>
      </c>
      <c r="R11" s="160">
        <v>22311.49</v>
      </c>
    </row>
    <row r="12" spans="1:18" x14ac:dyDescent="0.25">
      <c r="A12" s="158" t="s">
        <v>99</v>
      </c>
      <c r="B12" s="160">
        <v>17450.560000000001</v>
      </c>
      <c r="C12" s="160">
        <v>15336.38</v>
      </c>
      <c r="D12" s="163"/>
      <c r="E12" s="160">
        <v>18211.38</v>
      </c>
      <c r="F12" s="160">
        <v>17057.84</v>
      </c>
      <c r="G12" s="163"/>
      <c r="H12" s="160">
        <v>19552.71</v>
      </c>
      <c r="I12" s="160">
        <v>17641.29</v>
      </c>
      <c r="J12" s="163"/>
      <c r="K12" s="160">
        <v>20175.87</v>
      </c>
      <c r="L12" s="160">
        <v>19454.39</v>
      </c>
      <c r="M12" s="163"/>
      <c r="N12" s="160">
        <v>22960.68</v>
      </c>
      <c r="O12" s="160">
        <v>21259.13</v>
      </c>
      <c r="P12" s="163"/>
      <c r="Q12" s="160">
        <v>23381.02</v>
      </c>
      <c r="R12" s="160">
        <v>22752.97</v>
      </c>
    </row>
    <row r="13" spans="1:18" x14ac:dyDescent="0.25">
      <c r="A13" s="158" t="s">
        <v>100</v>
      </c>
      <c r="B13" s="160">
        <v>18002.75</v>
      </c>
      <c r="C13" s="160">
        <v>15718.98</v>
      </c>
      <c r="D13" s="163"/>
      <c r="E13" s="160">
        <v>18813.150000000001</v>
      </c>
      <c r="F13" s="160">
        <v>17797.98</v>
      </c>
      <c r="G13" s="163"/>
      <c r="H13" s="160">
        <v>20252.669999999998</v>
      </c>
      <c r="I13" s="160">
        <v>18082.77</v>
      </c>
      <c r="J13" s="163"/>
      <c r="K13" s="160">
        <v>20816.060000000001</v>
      </c>
      <c r="L13" s="160">
        <v>19895.87</v>
      </c>
      <c r="M13" s="163"/>
      <c r="N13" s="160">
        <v>23406.57</v>
      </c>
      <c r="O13" s="160">
        <v>21700.61</v>
      </c>
      <c r="P13" s="163"/>
      <c r="Q13" s="160">
        <v>23927.06</v>
      </c>
      <c r="R13" s="160">
        <v>23194.45</v>
      </c>
    </row>
    <row r="14" spans="1:18" x14ac:dyDescent="0.25">
      <c r="A14" s="158" t="s">
        <v>101</v>
      </c>
      <c r="B14" s="160">
        <v>18554.939999999999</v>
      </c>
      <c r="C14" s="160">
        <v>16101.58</v>
      </c>
      <c r="D14" s="163"/>
      <c r="E14" s="160">
        <v>19414.919999999998</v>
      </c>
      <c r="F14" s="160">
        <v>18538.12</v>
      </c>
      <c r="G14" s="163"/>
      <c r="H14" s="160">
        <v>20952.63</v>
      </c>
      <c r="I14" s="160">
        <v>18793.560000000001</v>
      </c>
      <c r="J14" s="163"/>
      <c r="K14" s="160">
        <v>21456.25</v>
      </c>
      <c r="L14" s="160">
        <v>20337.349999999999</v>
      </c>
      <c r="M14" s="163"/>
      <c r="N14" s="160">
        <v>23852.46</v>
      </c>
      <c r="O14" s="160">
        <v>22142.09</v>
      </c>
      <c r="P14" s="163"/>
      <c r="Q14" s="160">
        <v>24473.1</v>
      </c>
      <c r="R14" s="160">
        <v>23635.93</v>
      </c>
    </row>
    <row r="15" spans="1:18" x14ac:dyDescent="0.25">
      <c r="A15" s="158" t="s">
        <v>102</v>
      </c>
      <c r="B15" s="160">
        <v>19107.13</v>
      </c>
      <c r="C15" s="160">
        <v>16484.18</v>
      </c>
      <c r="D15" s="163"/>
      <c r="E15" s="160">
        <v>20016.689999999999</v>
      </c>
      <c r="F15" s="160">
        <v>19278.259999999998</v>
      </c>
      <c r="G15" s="163"/>
      <c r="H15" s="160">
        <v>21457.64</v>
      </c>
      <c r="I15" s="160">
        <v>19504.349999999999</v>
      </c>
      <c r="J15" s="163"/>
      <c r="K15" s="160">
        <v>22096.44</v>
      </c>
      <c r="L15" s="160">
        <v>20778.830000000002</v>
      </c>
      <c r="M15" s="163"/>
      <c r="N15" s="160">
        <v>24298.35</v>
      </c>
      <c r="O15" s="160">
        <v>22583.57</v>
      </c>
      <c r="P15" s="163"/>
      <c r="Q15" s="160">
        <v>25019.14</v>
      </c>
      <c r="R15" s="160">
        <v>24077.41</v>
      </c>
    </row>
    <row r="16" spans="1:18" x14ac:dyDescent="0.25">
      <c r="A16" s="158" t="s">
        <v>103</v>
      </c>
      <c r="B16" s="160">
        <v>19659.32</v>
      </c>
      <c r="C16" s="160">
        <v>16866.78</v>
      </c>
      <c r="D16" s="163"/>
      <c r="E16" s="160">
        <v>20618.46</v>
      </c>
      <c r="F16" s="160">
        <v>20018.400000000001</v>
      </c>
      <c r="G16" s="163"/>
      <c r="H16" s="160">
        <v>21962.65</v>
      </c>
      <c r="I16" s="160">
        <v>20215.14</v>
      </c>
      <c r="J16" s="163"/>
      <c r="K16" s="160">
        <v>22736.63</v>
      </c>
      <c r="L16" s="160">
        <v>21542.92</v>
      </c>
      <c r="M16" s="163"/>
      <c r="N16" s="160">
        <v>24744.240000000002</v>
      </c>
      <c r="O16" s="160">
        <v>23319.919999999998</v>
      </c>
      <c r="P16" s="163"/>
      <c r="Q16" s="160">
        <v>25741.58</v>
      </c>
      <c r="R16" s="160">
        <v>24872.04</v>
      </c>
    </row>
    <row r="17" spans="1:18" x14ac:dyDescent="0.25">
      <c r="A17" s="158" t="s">
        <v>104</v>
      </c>
      <c r="B17" s="160"/>
      <c r="C17" s="160"/>
      <c r="D17" s="163"/>
      <c r="E17" s="160">
        <v>21220.23</v>
      </c>
      <c r="F17" s="160">
        <v>20758.54</v>
      </c>
      <c r="G17" s="163"/>
      <c r="H17" s="160">
        <v>22467.66</v>
      </c>
      <c r="I17" s="160">
        <v>20925.93</v>
      </c>
      <c r="J17" s="163"/>
      <c r="K17" s="160">
        <v>23376.82</v>
      </c>
      <c r="L17" s="160">
        <v>22307.01</v>
      </c>
      <c r="M17" s="163"/>
      <c r="N17" s="160">
        <v>25190.13</v>
      </c>
      <c r="O17" s="160">
        <v>24056.27</v>
      </c>
      <c r="P17" s="163"/>
      <c r="Q17" s="160">
        <v>26464.02</v>
      </c>
      <c r="R17" s="160">
        <v>25666.67</v>
      </c>
    </row>
    <row r="18" spans="1:18" x14ac:dyDescent="0.25">
      <c r="A18" s="158" t="s">
        <v>105</v>
      </c>
      <c r="B18" s="160"/>
      <c r="C18" s="160"/>
      <c r="D18" s="163"/>
      <c r="E18" s="160">
        <v>21822</v>
      </c>
      <c r="F18" s="160">
        <v>21498.68</v>
      </c>
      <c r="G18" s="163"/>
      <c r="H18" s="160">
        <v>22972.67</v>
      </c>
      <c r="I18" s="160">
        <v>21636.720000000001</v>
      </c>
      <c r="J18" s="163"/>
      <c r="K18" s="160">
        <v>23837.58</v>
      </c>
      <c r="L18" s="160">
        <v>23071.1</v>
      </c>
      <c r="M18" s="163"/>
      <c r="N18" s="160">
        <v>25636.02</v>
      </c>
      <c r="O18" s="160">
        <v>24792.62</v>
      </c>
      <c r="P18" s="163"/>
      <c r="Q18" s="160">
        <v>27186.46</v>
      </c>
      <c r="R18" s="160">
        <v>26461.3</v>
      </c>
    </row>
    <row r="19" spans="1:18" x14ac:dyDescent="0.25">
      <c r="A19" s="158" t="s">
        <v>106</v>
      </c>
      <c r="B19" s="160"/>
      <c r="C19" s="160"/>
      <c r="D19" s="163"/>
      <c r="E19" s="160">
        <v>22423.77</v>
      </c>
      <c r="F19" s="160">
        <v>22238.82</v>
      </c>
      <c r="G19" s="163"/>
      <c r="H19" s="160">
        <v>23477.68</v>
      </c>
      <c r="I19" s="160">
        <v>22347.51</v>
      </c>
      <c r="J19" s="163"/>
      <c r="K19" s="160">
        <v>24298.34</v>
      </c>
      <c r="L19" s="160">
        <v>23835.19</v>
      </c>
      <c r="M19" s="163"/>
      <c r="N19" s="160">
        <v>26081.91</v>
      </c>
      <c r="O19" s="160">
        <v>25528.97</v>
      </c>
      <c r="P19" s="163"/>
      <c r="Q19" s="160">
        <v>27908.9</v>
      </c>
      <c r="R19" s="160">
        <v>27255.93</v>
      </c>
    </row>
    <row r="20" spans="1:18" x14ac:dyDescent="0.25">
      <c r="A20" s="158" t="s">
        <v>107</v>
      </c>
      <c r="B20" s="160"/>
      <c r="C20" s="160"/>
      <c r="D20" s="163"/>
      <c r="E20" s="160"/>
      <c r="F20" s="160"/>
      <c r="G20" s="163"/>
      <c r="H20" s="160">
        <v>23982.69</v>
      </c>
      <c r="I20" s="160">
        <v>23063.85</v>
      </c>
      <c r="J20" s="163"/>
      <c r="K20" s="160">
        <v>24759.1</v>
      </c>
      <c r="L20" s="160">
        <v>24599.279999999999</v>
      </c>
      <c r="M20" s="163"/>
      <c r="N20" s="160">
        <v>26527.8</v>
      </c>
      <c r="O20" s="160">
        <v>26265.32</v>
      </c>
      <c r="P20" s="163"/>
      <c r="Q20" s="160">
        <v>28631.34</v>
      </c>
      <c r="R20" s="160">
        <v>28050.560000000001</v>
      </c>
    </row>
  </sheetData>
  <sheetProtection password="EC91" sheet="1" objects="1" scenarios="1" selectLockedCells="1"/>
  <mergeCells count="5">
    <mergeCell ref="N1:O1"/>
    <mergeCell ref="E1:F1"/>
    <mergeCell ref="H1:I1"/>
    <mergeCell ref="K1:L1"/>
    <mergeCell ref="B1:C1"/>
  </mergeCells>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dimension ref="A1:N38"/>
  <sheetViews>
    <sheetView workbookViewId="0">
      <selection activeCell="C3" sqref="C3"/>
    </sheetView>
  </sheetViews>
  <sheetFormatPr defaultRowHeight="14.25" x14ac:dyDescent="0.2"/>
  <cols>
    <col min="1" max="9" width="11.42578125" style="3" customWidth="1"/>
    <col min="10" max="10" width="15" style="3" customWidth="1"/>
    <col min="11" max="256" width="11.42578125" style="3" customWidth="1"/>
    <col min="257" max="16384" width="9.140625" style="3"/>
  </cols>
  <sheetData>
    <row r="1" spans="1:14" x14ac:dyDescent="0.2">
      <c r="A1" s="81" t="s">
        <v>37</v>
      </c>
      <c r="B1" s="82"/>
      <c r="C1" s="82"/>
      <c r="D1" s="82"/>
      <c r="E1" s="82"/>
      <c r="F1" s="82"/>
      <c r="G1" s="83"/>
      <c r="J1" s="76"/>
      <c r="K1" s="83"/>
      <c r="M1" s="125"/>
      <c r="N1" s="125"/>
    </row>
    <row r="2" spans="1:14" x14ac:dyDescent="0.2">
      <c r="A2" s="77"/>
      <c r="B2" s="6" t="s">
        <v>38</v>
      </c>
      <c r="C2" s="6"/>
      <c r="D2" s="6"/>
      <c r="E2" s="6" t="s">
        <v>39</v>
      </c>
      <c r="F2" s="6"/>
      <c r="G2" s="84"/>
      <c r="J2" s="77" t="str">
        <f>IF('Types de jours'!F15&lt;&gt;"",'Types de jours'!F15,"")</f>
        <v>Congé</v>
      </c>
      <c r="K2" s="78">
        <f>IF(J2&lt;&gt;"",'Types de jours'!I15,"")</f>
        <v>0.31666666666666665</v>
      </c>
      <c r="M2" s="125"/>
      <c r="N2" s="125"/>
    </row>
    <row r="3" spans="1:14" x14ac:dyDescent="0.2">
      <c r="A3" s="77"/>
      <c r="B3" s="6"/>
      <c r="C3" s="85">
        <v>9690</v>
      </c>
      <c r="D3" s="6"/>
      <c r="E3" s="86">
        <v>0</v>
      </c>
      <c r="F3" s="6" t="s">
        <v>40</v>
      </c>
      <c r="G3" s="84"/>
      <c r="H3" s="6"/>
      <c r="J3" s="77" t="str">
        <f>IF('Types de jours'!F16&lt;&gt;"",'Types de jours'!F16,"")</f>
        <v>1/2 Congé</v>
      </c>
      <c r="K3" s="78">
        <f>IF(J3&lt;&gt;"",'Types de jours'!I16,"")</f>
        <v>0.15833333333333333</v>
      </c>
      <c r="M3" s="125"/>
      <c r="N3" s="125"/>
    </row>
    <row r="4" spans="1:14" x14ac:dyDescent="0.2">
      <c r="A4" s="77"/>
      <c r="B4" s="6"/>
      <c r="C4" s="85">
        <v>9690.01</v>
      </c>
      <c r="D4" s="6"/>
      <c r="E4" s="86">
        <v>23.22</v>
      </c>
      <c r="F4" s="6" t="s">
        <v>40</v>
      </c>
      <c r="G4" s="84"/>
      <c r="H4" s="6"/>
      <c r="J4" s="77" t="str">
        <f>IF('Types de jours'!F17&lt;&gt;"",'Types de jours'!F17,"")</f>
        <v>Malade</v>
      </c>
      <c r="K4" s="78">
        <f>IF(J4&lt;&gt;"",'Types de jours'!I17,"")</f>
        <v>0.31666666666666665</v>
      </c>
      <c r="M4" s="125"/>
      <c r="N4" s="125"/>
    </row>
    <row r="5" spans="1:14" x14ac:dyDescent="0.2">
      <c r="A5" s="77"/>
      <c r="B5" s="6"/>
      <c r="C5" s="85">
        <v>12400.01</v>
      </c>
      <c r="D5" s="6"/>
      <c r="E5" s="86">
        <v>25.23</v>
      </c>
      <c r="F5" s="6" t="s">
        <v>40</v>
      </c>
      <c r="G5" s="84"/>
      <c r="H5" s="6"/>
      <c r="J5" s="77" t="str">
        <f>IF('Types de jours'!F18&lt;&gt;"",'Types de jours'!F18,"")</f>
        <v>Acc. de travail</v>
      </c>
      <c r="K5" s="78">
        <f>IF(J5&lt;&gt;"",'Types de jours'!I18,"")</f>
        <v>0.31666666666666665</v>
      </c>
      <c r="M5" s="125"/>
      <c r="N5" s="125"/>
    </row>
    <row r="6" spans="1:14" x14ac:dyDescent="0.2">
      <c r="A6" s="77"/>
      <c r="B6" s="6"/>
      <c r="C6" s="85">
        <v>15775.01</v>
      </c>
      <c r="D6" s="6"/>
      <c r="E6" s="86">
        <v>30.28</v>
      </c>
      <c r="F6" s="6" t="s">
        <v>40</v>
      </c>
      <c r="G6" s="84"/>
      <c r="H6" s="6"/>
      <c r="J6" s="77" t="str">
        <f>IF('Types de jours'!F19&lt;&gt;"",'Types de jours'!F19,"")</f>
        <v>Congé Synd.</v>
      </c>
      <c r="K6" s="78">
        <f>IF(J6&lt;&gt;"",'Types de jours'!I19,"")</f>
        <v>0.31666666666666665</v>
      </c>
      <c r="M6" s="125"/>
      <c r="N6" s="125"/>
    </row>
    <row r="7" spans="1:14" x14ac:dyDescent="0.2">
      <c r="A7" s="77"/>
      <c r="B7" s="6"/>
      <c r="C7" s="85">
        <v>18910.009999999998</v>
      </c>
      <c r="D7" s="6"/>
      <c r="E7" s="86">
        <v>35.33</v>
      </c>
      <c r="F7" s="6" t="s">
        <v>40</v>
      </c>
      <c r="G7" s="84"/>
      <c r="H7" s="6"/>
      <c r="J7" s="77" t="str">
        <f>IF('Types de jours'!F20&lt;&gt;"",'Types de jours'!F20,"")</f>
        <v>1/2 Congé Synd.</v>
      </c>
      <c r="K7" s="78">
        <f>IF(J7&lt;&gt;"",'Types de jours'!I20,"")</f>
        <v>0.15833333333333333</v>
      </c>
      <c r="M7" s="125"/>
      <c r="N7" s="125"/>
    </row>
    <row r="8" spans="1:14" x14ac:dyDescent="0.2">
      <c r="A8" s="77"/>
      <c r="B8" s="6"/>
      <c r="C8" s="85">
        <v>21400.01</v>
      </c>
      <c r="D8" s="6"/>
      <c r="E8" s="86">
        <v>38.36</v>
      </c>
      <c r="F8" s="6" t="s">
        <v>40</v>
      </c>
      <c r="G8" s="84"/>
      <c r="H8" s="6"/>
      <c r="J8" s="77" t="str">
        <f>IF('Types de jours'!F21&lt;&gt;"",'Types de jours'!F21,"")</f>
        <v>1/2 Congé + 1/2 synd.</v>
      </c>
      <c r="K8" s="78">
        <f>IF(J8&lt;&gt;"",'Types de jours'!I21,"")</f>
        <v>0.31666666666666665</v>
      </c>
      <c r="M8" s="125"/>
      <c r="N8" s="125"/>
    </row>
    <row r="9" spans="1:14" x14ac:dyDescent="0.2">
      <c r="A9" s="77"/>
      <c r="B9" s="6"/>
      <c r="C9" s="85">
        <v>23910.01</v>
      </c>
      <c r="D9" s="6"/>
      <c r="E9" s="86">
        <v>40.380000000000003</v>
      </c>
      <c r="F9" s="6" t="s">
        <v>40</v>
      </c>
      <c r="G9" s="84"/>
      <c r="H9" s="6"/>
      <c r="J9" s="77" t="str">
        <f>IF('Types de jours'!F22&lt;&gt;"",'Types de jours'!F22,"")</f>
        <v>Jour férié semaine</v>
      </c>
      <c r="K9" s="78">
        <f>IF(J9&lt;&gt;"",'Types de jours'!I22,"")</f>
        <v>0.31666666666666665</v>
      </c>
      <c r="M9" s="125"/>
      <c r="N9" s="125"/>
    </row>
    <row r="10" spans="1:14" x14ac:dyDescent="0.2">
      <c r="A10" s="77"/>
      <c r="B10" s="6"/>
      <c r="C10" s="85">
        <v>28900.01</v>
      </c>
      <c r="D10" s="6"/>
      <c r="E10" s="86">
        <v>43.41</v>
      </c>
      <c r="F10" s="6" t="s">
        <v>40</v>
      </c>
      <c r="G10" s="84"/>
      <c r="H10" s="6"/>
      <c r="J10" s="77" t="str">
        <f>IF('Types de jours'!F23&lt;&gt;"",'Types de jours'!F23,"")</f>
        <v>Jour libre 4/5</v>
      </c>
      <c r="K10" s="78">
        <f>IF(J10&lt;&gt;"",'Types de jours'!I23,"")</f>
        <v>0</v>
      </c>
      <c r="M10" s="125"/>
      <c r="N10" s="125"/>
    </row>
    <row r="11" spans="1:14" x14ac:dyDescent="0.2">
      <c r="A11" s="77"/>
      <c r="B11" s="6"/>
      <c r="C11" s="85">
        <v>31440.01</v>
      </c>
      <c r="D11" s="6"/>
      <c r="E11" s="86">
        <v>46.44</v>
      </c>
      <c r="F11" s="6" t="s">
        <v>40</v>
      </c>
      <c r="G11" s="84"/>
      <c r="H11" s="6"/>
      <c r="J11" s="77" t="str">
        <f>IF('Types de jours'!F24&lt;&gt;"",'Types de jours'!F24,"")</f>
        <v>Jour de pont</v>
      </c>
      <c r="K11" s="78">
        <f>IF(J11&lt;&gt;"",'Types de jours'!I24,"")</f>
        <v>0.31666666666666665</v>
      </c>
      <c r="M11" s="125"/>
      <c r="N11" s="125"/>
    </row>
    <row r="12" spans="1:14" x14ac:dyDescent="0.2">
      <c r="A12" s="77"/>
      <c r="B12" s="7"/>
      <c r="C12" s="8">
        <v>41630.01</v>
      </c>
      <c r="D12" s="9"/>
      <c r="E12" s="8">
        <v>51.48</v>
      </c>
      <c r="F12" s="6" t="s">
        <v>40</v>
      </c>
      <c r="G12" s="87"/>
      <c r="H12" s="6"/>
      <c r="J12" s="77" t="str">
        <f>IF('Types de jours'!F25&lt;&gt;"",'Types de jours'!F25,"")</f>
        <v>Congé 12h</v>
      </c>
      <c r="K12" s="78">
        <f>IF(J12&lt;&gt;"",'Types de jours'!I25,"")</f>
        <v>0.5</v>
      </c>
      <c r="M12" s="125"/>
      <c r="N12" s="125"/>
    </row>
    <row r="13" spans="1:14" x14ac:dyDescent="0.2">
      <c r="A13" s="77"/>
      <c r="B13" s="6"/>
      <c r="C13" s="10">
        <v>54370.01</v>
      </c>
      <c r="D13" s="11"/>
      <c r="E13" s="10">
        <v>53.5</v>
      </c>
      <c r="F13" s="6" t="s">
        <v>40</v>
      </c>
      <c r="G13" s="88"/>
      <c r="H13" s="6"/>
      <c r="J13" s="77" t="str">
        <f>IF('Types de jours'!F26&lt;&gt;"",'Types de jours'!F26,"")</f>
        <v/>
      </c>
      <c r="K13" s="78" t="str">
        <f>IF(J13&lt;&gt;"",'Types de jours'!I26,"")</f>
        <v/>
      </c>
      <c r="M13" s="125"/>
      <c r="N13" s="125"/>
    </row>
    <row r="14" spans="1:14" x14ac:dyDescent="0.2">
      <c r="A14" s="79"/>
      <c r="B14" s="89"/>
      <c r="C14" s="90">
        <v>54370.01</v>
      </c>
      <c r="D14" s="91"/>
      <c r="E14" s="90">
        <v>53.5</v>
      </c>
      <c r="F14" s="89" t="s">
        <v>40</v>
      </c>
      <c r="G14" s="92"/>
      <c r="H14" s="6"/>
      <c r="J14" s="77" t="str">
        <f>IF('Types de jours'!F27&lt;&gt;"",'Types de jours'!F27,"")</f>
        <v/>
      </c>
      <c r="K14" s="78" t="str">
        <f>IF(J14&lt;&gt;"",'Types de jours'!I27,"")</f>
        <v/>
      </c>
      <c r="M14" s="125"/>
      <c r="N14" s="125"/>
    </row>
    <row r="15" spans="1:14" x14ac:dyDescent="0.2">
      <c r="H15" s="6"/>
      <c r="J15" s="77" t="str">
        <f>IF('Types de jours'!F28&lt;&gt;"",'Types de jours'!F28,"")</f>
        <v/>
      </c>
      <c r="K15" s="78" t="str">
        <f>IF(J15&lt;&gt;"",'Types de jours'!I28,"")</f>
        <v/>
      </c>
      <c r="M15" s="125"/>
      <c r="N15" s="125"/>
    </row>
    <row r="16" spans="1:14" x14ac:dyDescent="0.2">
      <c r="A16" s="12"/>
      <c r="J16" s="77" t="str">
        <f>IF('Types de jours'!F29&lt;&gt;"",'Types de jours'!F29,"")</f>
        <v/>
      </c>
      <c r="K16" s="78" t="str">
        <f>IF(J16&lt;&gt;"",'Types de jours'!I29,"")</f>
        <v/>
      </c>
      <c r="M16" s="125"/>
      <c r="N16" s="125"/>
    </row>
    <row r="17" spans="3:14" x14ac:dyDescent="0.2">
      <c r="J17" s="77" t="str">
        <f>IF('Types de jours'!F30&lt;&gt;"",'Types de jours'!F30,"")</f>
        <v/>
      </c>
      <c r="K17" s="78" t="str">
        <f>IF(J17&lt;&gt;"",'Types de jours'!I30,"")</f>
        <v/>
      </c>
      <c r="M17" s="125"/>
      <c r="N17" s="125"/>
    </row>
    <row r="18" spans="3:14" x14ac:dyDescent="0.2">
      <c r="C18" s="195" t="s">
        <v>109</v>
      </c>
      <c r="D18" s="3">
        <v>189</v>
      </c>
      <c r="E18" s="3">
        <v>74</v>
      </c>
      <c r="F18" s="3">
        <v>38</v>
      </c>
      <c r="J18" s="77" t="str">
        <f>IF('Types de jours'!F31&lt;&gt;"",'Types de jours'!F31,"")</f>
        <v/>
      </c>
      <c r="K18" s="78" t="str">
        <f>IF(J18&lt;&gt;"",'Types de jours'!I31,"")</f>
        <v/>
      </c>
      <c r="M18" s="125"/>
      <c r="N18" s="125"/>
    </row>
    <row r="19" spans="3:14" x14ac:dyDescent="0.2">
      <c r="C19" s="195" t="s">
        <v>110</v>
      </c>
      <c r="D19" s="3">
        <v>148</v>
      </c>
      <c r="E19" s="3">
        <v>183</v>
      </c>
      <c r="F19" s="3">
        <v>188</v>
      </c>
      <c r="J19" s="77" t="str">
        <f>IF('Types de jours'!F32&lt;&gt;"",'Types de jours'!F32,"")</f>
        <v/>
      </c>
      <c r="K19" s="78" t="str">
        <f>IF(J19&lt;&gt;"",'Types de jours'!I32,"")</f>
        <v/>
      </c>
      <c r="M19" s="125"/>
      <c r="N19" s="125"/>
    </row>
    <row r="20" spans="3:14" x14ac:dyDescent="0.2">
      <c r="J20" s="77" t="str">
        <f>IF('Types de jours'!F33&lt;&gt;"",'Types de jours'!F33,"")</f>
        <v/>
      </c>
      <c r="K20" s="78" t="str">
        <f>IF(J20&lt;&gt;"",'Types de jours'!I33,"")</f>
        <v/>
      </c>
      <c r="M20" s="125"/>
      <c r="N20" s="125"/>
    </row>
    <row r="21" spans="3:14" x14ac:dyDescent="0.2">
      <c r="J21" s="77" t="str">
        <f>IF('Types de jours'!F34&lt;&gt;"",'Types de jours'!F34,"")</f>
        <v/>
      </c>
      <c r="K21" s="78" t="str">
        <f>IF(J21&lt;&gt;"",'Types de jours'!I34,"")</f>
        <v/>
      </c>
      <c r="M21" s="125"/>
      <c r="N21" s="125"/>
    </row>
    <row r="22" spans="3:14" x14ac:dyDescent="0.2">
      <c r="J22" s="79" t="str">
        <f>IF('Types de jours'!F35&lt;&gt;"",'Types de jours'!F35,"")</f>
        <v/>
      </c>
      <c r="K22" s="80" t="str">
        <f>IF(J22&lt;&gt;"",'Types de jours'!I35,"")</f>
        <v/>
      </c>
      <c r="M22" s="125"/>
      <c r="N22" s="125"/>
    </row>
    <row r="23" spans="3:14" x14ac:dyDescent="0.2">
      <c r="M23" s="125"/>
      <c r="N23" s="125"/>
    </row>
    <row r="24" spans="3:14" x14ac:dyDescent="0.2">
      <c r="M24" s="125"/>
      <c r="N24" s="125"/>
    </row>
    <row r="25" spans="3:14" x14ac:dyDescent="0.2">
      <c r="M25" s="125"/>
      <c r="N25" s="125"/>
    </row>
    <row r="26" spans="3:14" x14ac:dyDescent="0.2">
      <c r="M26" s="125"/>
      <c r="N26" s="125"/>
    </row>
    <row r="27" spans="3:14" x14ac:dyDescent="0.2">
      <c r="M27" s="125"/>
      <c r="N27" s="125"/>
    </row>
    <row r="28" spans="3:14" x14ac:dyDescent="0.2">
      <c r="M28" s="125"/>
      <c r="N28" s="125"/>
    </row>
    <row r="29" spans="3:14" x14ac:dyDescent="0.2">
      <c r="M29" s="125"/>
      <c r="N29" s="125"/>
    </row>
    <row r="30" spans="3:14" x14ac:dyDescent="0.2">
      <c r="M30" s="125"/>
      <c r="N30" s="125"/>
    </row>
    <row r="31" spans="3:14" x14ac:dyDescent="0.2">
      <c r="M31" s="125"/>
      <c r="N31" s="125"/>
    </row>
    <row r="32" spans="3:14" x14ac:dyDescent="0.2">
      <c r="M32" s="125"/>
      <c r="N32" s="125"/>
    </row>
    <row r="33" spans="13:14" x14ac:dyDescent="0.2">
      <c r="M33" s="125"/>
      <c r="N33" s="125"/>
    </row>
    <row r="34" spans="13:14" x14ac:dyDescent="0.2">
      <c r="M34" s="125"/>
      <c r="N34" s="125"/>
    </row>
    <row r="35" spans="13:14" x14ac:dyDescent="0.2">
      <c r="M35" s="125"/>
      <c r="N35" s="125"/>
    </row>
    <row r="36" spans="13:14" x14ac:dyDescent="0.2">
      <c r="M36" s="125"/>
      <c r="N36" s="125"/>
    </row>
    <row r="37" spans="13:14" x14ac:dyDescent="0.2">
      <c r="M37" s="126"/>
      <c r="N37" s="126"/>
    </row>
    <row r="38" spans="13:14" x14ac:dyDescent="0.2">
      <c r="M38" s="125"/>
      <c r="N38" s="125"/>
    </row>
  </sheetData>
  <sheetProtection password="EC91" sheet="1" objects="1" scenarios="1" selectLockedCells="1"/>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2:L62"/>
  <sheetViews>
    <sheetView tabSelected="1" zoomScaleNormal="100" workbookViewId="0">
      <selection activeCell="H17" sqref="H17:J17"/>
    </sheetView>
  </sheetViews>
  <sheetFormatPr defaultRowHeight="14.25" x14ac:dyDescent="0.2"/>
  <cols>
    <col min="1" max="1" width="1.42578125" style="1" customWidth="1"/>
    <col min="2" max="12" width="9" style="1" customWidth="1"/>
    <col min="13" max="256" width="11.42578125" style="1" customWidth="1"/>
    <col min="257" max="16384" width="9.140625" style="1"/>
  </cols>
  <sheetData>
    <row r="2" spans="2:12" x14ac:dyDescent="0.2">
      <c r="B2" s="15"/>
      <c r="C2" s="13"/>
      <c r="D2" s="13"/>
      <c r="E2" s="13"/>
      <c r="F2" s="13"/>
      <c r="G2" s="13"/>
      <c r="H2" s="13"/>
      <c r="I2" s="13"/>
      <c r="J2" s="13"/>
      <c r="K2" s="13"/>
      <c r="L2" s="14"/>
    </row>
    <row r="3" spans="2:12" x14ac:dyDescent="0.2">
      <c r="B3" s="16"/>
      <c r="C3" s="3"/>
      <c r="L3" s="4"/>
    </row>
    <row r="4" spans="2:12" x14ac:dyDescent="0.2">
      <c r="B4" s="16"/>
      <c r="F4" s="5"/>
      <c r="G4" s="5"/>
      <c r="H4" s="5"/>
      <c r="I4" s="5"/>
      <c r="L4" s="4"/>
    </row>
    <row r="5" spans="2:12" x14ac:dyDescent="0.2">
      <c r="B5" s="16"/>
      <c r="F5" s="5"/>
      <c r="G5" s="5"/>
      <c r="H5" s="5"/>
      <c r="I5" s="5"/>
      <c r="L5" s="4"/>
    </row>
    <row r="6" spans="2:12" x14ac:dyDescent="0.2">
      <c r="B6" s="16"/>
      <c r="F6" s="5"/>
      <c r="G6" s="5"/>
      <c r="H6" s="5"/>
      <c r="I6" s="5"/>
      <c r="L6" s="4"/>
    </row>
    <row r="7" spans="2:12" x14ac:dyDescent="0.2">
      <c r="B7" s="16"/>
      <c r="L7" s="4"/>
    </row>
    <row r="8" spans="2:12" x14ac:dyDescent="0.2">
      <c r="B8" s="16"/>
      <c r="G8" s="295" t="s">
        <v>267</v>
      </c>
      <c r="H8" s="295"/>
      <c r="I8" s="295"/>
      <c r="J8" s="295"/>
      <c r="L8" s="4"/>
    </row>
    <row r="9" spans="2:12" x14ac:dyDescent="0.2">
      <c r="B9" s="16"/>
      <c r="G9" s="295"/>
      <c r="H9" s="295"/>
      <c r="I9" s="295"/>
      <c r="J9" s="295"/>
      <c r="L9" s="4"/>
    </row>
    <row r="10" spans="2:12" ht="15.75" x14ac:dyDescent="0.2">
      <c r="B10" s="16"/>
      <c r="G10" s="69"/>
      <c r="H10" s="69"/>
      <c r="I10" s="69"/>
      <c r="J10" s="69"/>
      <c r="L10" s="4"/>
    </row>
    <row r="11" spans="2:12" ht="15.75" x14ac:dyDescent="0.2">
      <c r="B11" s="16"/>
      <c r="G11" s="69"/>
      <c r="H11" s="69"/>
      <c r="I11" s="69"/>
      <c r="J11" s="69"/>
      <c r="L11" s="4"/>
    </row>
    <row r="12" spans="2:12" ht="15.75" x14ac:dyDescent="0.2">
      <c r="B12" s="16"/>
      <c r="G12" s="69"/>
      <c r="H12" s="69"/>
      <c r="I12" s="69"/>
      <c r="J12" s="69"/>
      <c r="L12" s="4"/>
    </row>
    <row r="13" spans="2:12" x14ac:dyDescent="0.2">
      <c r="B13" s="16"/>
      <c r="E13" s="307" t="s">
        <v>147</v>
      </c>
      <c r="F13" s="307"/>
      <c r="G13" s="307"/>
      <c r="H13" s="307"/>
      <c r="I13" s="307"/>
      <c r="J13" s="307"/>
      <c r="L13" s="4"/>
    </row>
    <row r="14" spans="2:12" x14ac:dyDescent="0.2">
      <c r="B14" s="16"/>
      <c r="L14" s="4"/>
    </row>
    <row r="15" spans="2:12" hidden="1" x14ac:dyDescent="0.2">
      <c r="B15" s="16"/>
      <c r="E15" s="310" t="s">
        <v>58</v>
      </c>
      <c r="F15" s="310"/>
      <c r="G15" s="310"/>
      <c r="H15" s="305" t="s">
        <v>59</v>
      </c>
      <c r="I15" s="306"/>
      <c r="J15" s="313"/>
      <c r="K15" s="314"/>
      <c r="L15" s="4"/>
    </row>
    <row r="16" spans="2:12" hidden="1" x14ac:dyDescent="0.2">
      <c r="B16" s="16"/>
      <c r="L16" s="4"/>
    </row>
    <row r="17" spans="2:12" x14ac:dyDescent="0.2">
      <c r="B17" s="16"/>
      <c r="E17" s="308" t="s">
        <v>146</v>
      </c>
      <c r="F17" s="308"/>
      <c r="G17" s="309"/>
      <c r="H17" s="305"/>
      <c r="I17" s="312"/>
      <c r="J17" s="306"/>
      <c r="K17" s="71"/>
      <c r="L17" s="4"/>
    </row>
    <row r="18" spans="2:12" x14ac:dyDescent="0.2">
      <c r="B18" s="16"/>
      <c r="L18" s="4"/>
    </row>
    <row r="19" spans="2:12" x14ac:dyDescent="0.2">
      <c r="B19" s="16"/>
      <c r="E19" s="310" t="s">
        <v>145</v>
      </c>
      <c r="F19" s="310"/>
      <c r="G19" s="310"/>
      <c r="H19" s="311"/>
      <c r="I19" s="306"/>
      <c r="J19" s="313"/>
      <c r="K19" s="314"/>
      <c r="L19" s="4"/>
    </row>
    <row r="20" spans="2:12" x14ac:dyDescent="0.2">
      <c r="B20" s="16"/>
      <c r="L20" s="4"/>
    </row>
    <row r="21" spans="2:12" ht="15" customHeight="1" x14ac:dyDescent="0.2">
      <c r="B21" s="16"/>
      <c r="D21" s="310" t="s">
        <v>248</v>
      </c>
      <c r="E21" s="310"/>
      <c r="F21" s="310"/>
      <c r="G21" s="319"/>
      <c r="H21" s="305"/>
      <c r="I21" s="306"/>
      <c r="J21" s="313" t="s">
        <v>148</v>
      </c>
      <c r="K21" s="314"/>
      <c r="L21" s="4"/>
    </row>
    <row r="22" spans="2:12" x14ac:dyDescent="0.2">
      <c r="B22" s="16"/>
      <c r="D22" s="282"/>
      <c r="E22" s="282"/>
      <c r="F22" s="282"/>
      <c r="G22" s="282"/>
      <c r="H22" s="282"/>
      <c r="I22" s="282"/>
      <c r="J22" s="282"/>
      <c r="K22" s="282"/>
      <c r="L22" s="4"/>
    </row>
    <row r="23" spans="2:12" x14ac:dyDescent="0.2">
      <c r="B23" s="16"/>
      <c r="L23" s="4"/>
    </row>
    <row r="24" spans="2:12" x14ac:dyDescent="0.2">
      <c r="B24" s="16"/>
      <c r="E24" s="72" t="s">
        <v>149</v>
      </c>
      <c r="L24" s="4"/>
    </row>
    <row r="25" spans="2:12" x14ac:dyDescent="0.2">
      <c r="B25" s="16"/>
      <c r="L25" s="4"/>
    </row>
    <row r="26" spans="2:12" x14ac:dyDescent="0.2">
      <c r="B26" s="16"/>
      <c r="E26" s="308" t="s">
        <v>150</v>
      </c>
      <c r="F26" s="308"/>
      <c r="G26" s="309"/>
      <c r="H26" s="315">
        <v>0</v>
      </c>
      <c r="I26" s="316"/>
      <c r="J26" s="313"/>
      <c r="K26" s="314"/>
      <c r="L26" s="4"/>
    </row>
    <row r="27" spans="2:12" x14ac:dyDescent="0.2">
      <c r="B27" s="16"/>
      <c r="L27" s="4"/>
    </row>
    <row r="28" spans="2:12" x14ac:dyDescent="0.2">
      <c r="B28" s="16"/>
      <c r="E28" s="308" t="s">
        <v>151</v>
      </c>
      <c r="F28" s="308"/>
      <c r="G28" s="309"/>
      <c r="H28" s="315">
        <v>0</v>
      </c>
      <c r="I28" s="316"/>
      <c r="J28" s="313"/>
      <c r="K28" s="314"/>
      <c r="L28" s="4"/>
    </row>
    <row r="29" spans="2:12" x14ac:dyDescent="0.2">
      <c r="B29" s="16"/>
      <c r="L29" s="4"/>
    </row>
    <row r="30" spans="2:12" x14ac:dyDescent="0.2">
      <c r="B30" s="16"/>
      <c r="E30" s="308" t="s">
        <v>153</v>
      </c>
      <c r="F30" s="308"/>
      <c r="G30" s="309"/>
      <c r="H30" s="305">
        <v>0</v>
      </c>
      <c r="I30" s="306"/>
      <c r="J30" s="313"/>
      <c r="K30" s="314"/>
      <c r="L30" s="4"/>
    </row>
    <row r="31" spans="2:12" x14ac:dyDescent="0.2">
      <c r="B31" s="16"/>
      <c r="L31" s="4"/>
    </row>
    <row r="32" spans="2:12" x14ac:dyDescent="0.2">
      <c r="B32" s="16"/>
      <c r="E32" s="308" t="s">
        <v>152</v>
      </c>
      <c r="F32" s="308"/>
      <c r="G32" s="309"/>
      <c r="H32" s="315">
        <v>0</v>
      </c>
      <c r="I32" s="316"/>
      <c r="J32" s="313"/>
      <c r="K32" s="314"/>
      <c r="L32" s="4"/>
    </row>
    <row r="33" spans="2:12" x14ac:dyDescent="0.2">
      <c r="B33" s="16"/>
      <c r="D33" s="282"/>
      <c r="E33" s="282"/>
      <c r="F33" s="282"/>
      <c r="G33" s="282"/>
      <c r="H33" s="282"/>
      <c r="I33" s="282"/>
      <c r="J33" s="282"/>
      <c r="K33" s="282"/>
      <c r="L33" s="4"/>
    </row>
    <row r="34" spans="2:12" x14ac:dyDescent="0.2">
      <c r="B34" s="16"/>
      <c r="L34" s="4"/>
    </row>
    <row r="35" spans="2:12" x14ac:dyDescent="0.2">
      <c r="B35" s="16"/>
      <c r="E35" s="72" t="s">
        <v>154</v>
      </c>
      <c r="L35" s="4"/>
    </row>
    <row r="36" spans="2:12" x14ac:dyDescent="0.2">
      <c r="B36" s="16"/>
      <c r="L36" s="4"/>
    </row>
    <row r="37" spans="2:12" x14ac:dyDescent="0.2">
      <c r="B37" s="16"/>
      <c r="D37" s="304" t="str">
        <f>CONCATENATE("Droit de congé en ",RIGHT(G8,4)," (en jours):     ")</f>
        <v xml:space="preserve">Droit de congé en 2024 (en jours):     </v>
      </c>
      <c r="E37" s="304"/>
      <c r="F37" s="304"/>
      <c r="G37" s="304"/>
      <c r="H37" s="305">
        <v>32</v>
      </c>
      <c r="I37" s="306"/>
      <c r="L37" s="4"/>
    </row>
    <row r="38" spans="2:12" x14ac:dyDescent="0.2">
      <c r="B38" s="16"/>
      <c r="L38" s="4"/>
    </row>
    <row r="39" spans="2:12" x14ac:dyDescent="0.2">
      <c r="B39" s="16"/>
      <c r="E39" s="308" t="s">
        <v>155</v>
      </c>
      <c r="F39" s="308"/>
      <c r="G39" s="309"/>
      <c r="H39" s="317" t="s">
        <v>156</v>
      </c>
      <c r="I39" s="318"/>
      <c r="J39" s="313" t="s">
        <v>157</v>
      </c>
      <c r="K39" s="314"/>
      <c r="L39" s="4"/>
    </row>
    <row r="40" spans="2:12" x14ac:dyDescent="0.2">
      <c r="B40" s="16"/>
      <c r="L40" s="4"/>
    </row>
    <row r="41" spans="2:12" x14ac:dyDescent="0.2">
      <c r="B41" s="16"/>
      <c r="E41" s="308" t="s">
        <v>249</v>
      </c>
      <c r="F41" s="308"/>
      <c r="G41" s="309"/>
      <c r="H41" s="322">
        <f>IF(H43="",IF(H39="A temps plein",TIME(7,36,0),IF(H39="A mi-temps",TIME(3,48,0),"")),H43)</f>
        <v>0.31666666666666665</v>
      </c>
      <c r="I41" s="323"/>
      <c r="J41" s="313"/>
      <c r="K41" s="314"/>
      <c r="L41" s="4"/>
    </row>
    <row r="42" spans="2:12" x14ac:dyDescent="0.2">
      <c r="B42" s="16"/>
      <c r="L42" s="4"/>
    </row>
    <row r="43" spans="2:12" ht="15" customHeight="1" x14ac:dyDescent="0.2">
      <c r="B43" s="16"/>
      <c r="D43" s="308" t="s">
        <v>250</v>
      </c>
      <c r="E43" s="308"/>
      <c r="F43" s="308"/>
      <c r="G43" s="309"/>
      <c r="H43" s="324"/>
      <c r="I43" s="325"/>
      <c r="J43" s="313" t="s">
        <v>158</v>
      </c>
      <c r="K43" s="314"/>
      <c r="L43" s="4"/>
    </row>
    <row r="44" spans="2:12" x14ac:dyDescent="0.2">
      <c r="B44" s="16"/>
      <c r="E44" s="283"/>
      <c r="F44" s="283"/>
      <c r="G44" s="283"/>
      <c r="H44" s="284"/>
      <c r="I44" s="285"/>
      <c r="J44" s="286"/>
      <c r="K44" s="286"/>
      <c r="L44" s="4"/>
    </row>
    <row r="45" spans="2:12" hidden="1" x14ac:dyDescent="0.2">
      <c r="B45" s="16"/>
      <c r="E45" s="308" t="str">
        <f>IF($H$30="Dagen","Syndicale Verlofdagen:     ", "Syndicale Verlofuren:     ")</f>
        <v xml:space="preserve">Syndicale Verlofuren:     </v>
      </c>
      <c r="F45" s="308"/>
      <c r="G45" s="309"/>
      <c r="H45" s="320">
        <v>99999</v>
      </c>
      <c r="I45" s="321"/>
      <c r="J45" s="313"/>
      <c r="K45" s="314"/>
      <c r="L45" s="4"/>
    </row>
    <row r="46" spans="2:12" x14ac:dyDescent="0.2">
      <c r="B46" s="16"/>
      <c r="L46" s="4"/>
    </row>
    <row r="47" spans="2:12" x14ac:dyDescent="0.2">
      <c r="B47" s="16"/>
      <c r="L47" s="4"/>
    </row>
    <row r="48" spans="2:12" x14ac:dyDescent="0.2">
      <c r="B48" s="16"/>
      <c r="L48" s="4"/>
    </row>
    <row r="49" spans="2:12" x14ac:dyDescent="0.2">
      <c r="B49" s="16"/>
      <c r="L49" s="4"/>
    </row>
    <row r="50" spans="2:12" x14ac:dyDescent="0.2">
      <c r="B50" s="16"/>
      <c r="L50" s="4"/>
    </row>
    <row r="51" spans="2:12" x14ac:dyDescent="0.2">
      <c r="B51" s="16"/>
      <c r="L51" s="4"/>
    </row>
    <row r="52" spans="2:12" x14ac:dyDescent="0.2">
      <c r="B52" s="16"/>
      <c r="L52" s="4"/>
    </row>
    <row r="53" spans="2:12" x14ac:dyDescent="0.2">
      <c r="B53" s="16"/>
      <c r="L53" s="4"/>
    </row>
    <row r="54" spans="2:12" x14ac:dyDescent="0.2">
      <c r="B54" s="16"/>
      <c r="L54" s="4"/>
    </row>
    <row r="55" spans="2:12" x14ac:dyDescent="0.2">
      <c r="B55" s="16"/>
      <c r="L55" s="4"/>
    </row>
    <row r="56" spans="2:12" x14ac:dyDescent="0.2">
      <c r="B56" s="16"/>
      <c r="L56" s="4"/>
    </row>
    <row r="57" spans="2:12" x14ac:dyDescent="0.2">
      <c r="B57" s="16"/>
      <c r="L57" s="4"/>
    </row>
    <row r="58" spans="2:12" x14ac:dyDescent="0.2">
      <c r="B58" s="16"/>
      <c r="L58" s="4"/>
    </row>
    <row r="59" spans="2:12" x14ac:dyDescent="0.2">
      <c r="B59" s="16"/>
      <c r="L59" s="4"/>
    </row>
    <row r="60" spans="2:12" x14ac:dyDescent="0.2">
      <c r="B60" s="16"/>
      <c r="L60" s="4"/>
    </row>
    <row r="61" spans="2:12" x14ac:dyDescent="0.2">
      <c r="B61" s="16"/>
      <c r="L61" s="4"/>
    </row>
    <row r="62" spans="2:12" x14ac:dyDescent="0.2">
      <c r="B62" s="13"/>
      <c r="C62" s="13"/>
      <c r="D62" s="13"/>
      <c r="E62" s="13"/>
      <c r="F62" s="13"/>
      <c r="G62" s="13"/>
      <c r="H62" s="13"/>
      <c r="I62" s="13"/>
      <c r="J62" s="13"/>
      <c r="K62" s="13"/>
      <c r="L62" s="13"/>
    </row>
  </sheetData>
  <sheetProtection password="EC91" sheet="1" objects="1" scenarios="1" selectLockedCells="1"/>
  <mergeCells count="39">
    <mergeCell ref="D43:G43"/>
    <mergeCell ref="E45:G45"/>
    <mergeCell ref="H45:I45"/>
    <mergeCell ref="J45:K45"/>
    <mergeCell ref="E41:G41"/>
    <mergeCell ref="H41:I41"/>
    <mergeCell ref="J41:K41"/>
    <mergeCell ref="H43:I43"/>
    <mergeCell ref="J43:K43"/>
    <mergeCell ref="E39:G39"/>
    <mergeCell ref="J26:K26"/>
    <mergeCell ref="J28:K28"/>
    <mergeCell ref="E26:G26"/>
    <mergeCell ref="E28:G28"/>
    <mergeCell ref="E30:G30"/>
    <mergeCell ref="H39:I39"/>
    <mergeCell ref="J39:K39"/>
    <mergeCell ref="J21:K21"/>
    <mergeCell ref="H30:I30"/>
    <mergeCell ref="J30:K30"/>
    <mergeCell ref="H26:I26"/>
    <mergeCell ref="H28:I28"/>
    <mergeCell ref="H21:I21"/>
    <mergeCell ref="H32:I32"/>
    <mergeCell ref="J32:K32"/>
    <mergeCell ref="D37:G37"/>
    <mergeCell ref="H37:I37"/>
    <mergeCell ref="E13:J13"/>
    <mergeCell ref="G8:J9"/>
    <mergeCell ref="E17:G17"/>
    <mergeCell ref="E19:G19"/>
    <mergeCell ref="H19:I19"/>
    <mergeCell ref="H17:J17"/>
    <mergeCell ref="E15:G15"/>
    <mergeCell ref="H15:I15"/>
    <mergeCell ref="J15:K15"/>
    <mergeCell ref="J19:K19"/>
    <mergeCell ref="E32:G32"/>
    <mergeCell ref="D21:G21"/>
  </mergeCells>
  <conditionalFormatting sqref="H45:I45">
    <cfRule type="expression" dxfId="24" priority="1" stopIfTrue="1">
      <formula>$H$30="Uren"</formula>
    </cfRule>
    <cfRule type="expression" dxfId="23" priority="2" stopIfTrue="1">
      <formula>$H$30="Dagen"</formula>
    </cfRule>
  </conditionalFormatting>
  <dataValidations disablePrompts="1" count="2">
    <dataValidation type="list" allowBlank="1" showInputMessage="1" showErrorMessage="1" sqref="H39:I39" xr:uid="{00000000-0002-0000-0100-000000000000}">
      <formula1>"A temps plein,A mi-temps"</formula1>
    </dataValidation>
    <dataValidation type="list" allowBlank="1" showInputMessage="1" showErrorMessage="1" sqref="H15:I15" xr:uid="{00000000-0002-0000-0100-000001000000}">
      <formula1>"Nederlands,Français"</formula1>
    </dataValidation>
  </dataValidations>
  <pageMargins left="1.0416666666666666E-2" right="1.0416666666666666E-2" top="1.0416666666666666E-2" bottom="3.125E-2" header="0.3" footer="0.3"/>
  <pageSetup paperSize="9"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2:L53"/>
  <sheetViews>
    <sheetView zoomScaleNormal="100" workbookViewId="0">
      <selection activeCell="F26" sqref="F26:H26"/>
    </sheetView>
  </sheetViews>
  <sheetFormatPr defaultRowHeight="14.25" x14ac:dyDescent="0.2"/>
  <cols>
    <col min="1" max="1" width="1.42578125" style="1" customWidth="1"/>
    <col min="2" max="12" width="9" style="1" customWidth="1"/>
    <col min="13" max="256" width="11.42578125" style="1" customWidth="1"/>
    <col min="257" max="16384" width="9.140625" style="1"/>
  </cols>
  <sheetData>
    <row r="2" spans="2:12" x14ac:dyDescent="0.2">
      <c r="B2" s="15"/>
      <c r="C2" s="13"/>
      <c r="D2" s="13"/>
      <c r="E2" s="13"/>
      <c r="F2" s="13"/>
      <c r="G2" s="13"/>
      <c r="H2" s="13"/>
      <c r="I2" s="13"/>
      <c r="J2" s="13"/>
      <c r="K2" s="13"/>
      <c r="L2" s="14"/>
    </row>
    <row r="3" spans="2:12" x14ac:dyDescent="0.2">
      <c r="B3" s="16"/>
      <c r="C3" s="3"/>
      <c r="L3" s="4"/>
    </row>
    <row r="4" spans="2:12" x14ac:dyDescent="0.2">
      <c r="B4" s="16"/>
      <c r="F4" s="5"/>
      <c r="G4" s="5"/>
      <c r="H4" s="5"/>
      <c r="I4" s="5"/>
      <c r="L4" s="4"/>
    </row>
    <row r="5" spans="2:12" x14ac:dyDescent="0.2">
      <c r="B5" s="16"/>
      <c r="F5" s="5"/>
      <c r="G5" s="5"/>
      <c r="H5" s="5"/>
      <c r="I5" s="5"/>
      <c r="L5" s="4"/>
    </row>
    <row r="6" spans="2:12" x14ac:dyDescent="0.2">
      <c r="B6" s="16"/>
      <c r="F6" s="5"/>
      <c r="G6" s="5"/>
      <c r="H6" s="5"/>
      <c r="I6" s="5"/>
      <c r="L6" s="4"/>
    </row>
    <row r="7" spans="2:12" x14ac:dyDescent="0.2">
      <c r="B7" s="16"/>
      <c r="L7" s="4"/>
    </row>
    <row r="8" spans="2:12" x14ac:dyDescent="0.2">
      <c r="B8" s="16"/>
      <c r="G8" s="295" t="str">
        <f>Configuration!G8</f>
        <v>OTT Tool 2024</v>
      </c>
      <c r="H8" s="295"/>
      <c r="I8" s="295"/>
      <c r="J8" s="295"/>
      <c r="L8" s="4"/>
    </row>
    <row r="9" spans="2:12" x14ac:dyDescent="0.2">
      <c r="B9" s="16"/>
      <c r="G9" s="295"/>
      <c r="H9" s="295"/>
      <c r="I9" s="295"/>
      <c r="J9" s="295"/>
      <c r="L9" s="4"/>
    </row>
    <row r="10" spans="2:12" ht="15.75" x14ac:dyDescent="0.2">
      <c r="B10" s="16"/>
      <c r="G10" s="69"/>
      <c r="H10" s="69"/>
      <c r="I10" s="69"/>
      <c r="J10" s="69"/>
      <c r="L10" s="4"/>
    </row>
    <row r="11" spans="2:12" ht="15.75" x14ac:dyDescent="0.2">
      <c r="B11" s="16"/>
      <c r="G11" s="69"/>
      <c r="H11" s="69"/>
      <c r="I11" s="69"/>
      <c r="J11" s="69"/>
      <c r="L11" s="4"/>
    </row>
    <row r="12" spans="2:12" ht="15.75" x14ac:dyDescent="0.2">
      <c r="B12" s="16"/>
      <c r="G12" s="69"/>
      <c r="H12" s="69"/>
      <c r="I12" s="69"/>
      <c r="J12" s="69"/>
      <c r="L12" s="4"/>
    </row>
    <row r="13" spans="2:12" x14ac:dyDescent="0.2">
      <c r="B13" s="16"/>
      <c r="E13" s="307" t="s">
        <v>159</v>
      </c>
      <c r="F13" s="307"/>
      <c r="G13" s="307"/>
      <c r="H13" s="307"/>
      <c r="I13" s="307"/>
      <c r="J13" s="307"/>
      <c r="L13" s="4"/>
    </row>
    <row r="14" spans="2:12" x14ac:dyDescent="0.2">
      <c r="B14" s="16"/>
      <c r="L14" s="4"/>
    </row>
    <row r="15" spans="2:12" x14ac:dyDescent="0.2">
      <c r="B15" s="16"/>
      <c r="E15" s="70"/>
      <c r="F15" s="332" t="s">
        <v>160</v>
      </c>
      <c r="G15" s="333"/>
      <c r="H15" s="334"/>
      <c r="I15" s="73">
        <f>Configuration!$H$41</f>
        <v>0.31666666666666665</v>
      </c>
      <c r="J15" s="5"/>
      <c r="K15" s="71"/>
      <c r="L15" s="4"/>
    </row>
    <row r="16" spans="2:12" x14ac:dyDescent="0.2">
      <c r="B16" s="16"/>
      <c r="F16" s="329" t="s">
        <v>161</v>
      </c>
      <c r="G16" s="330"/>
      <c r="H16" s="331"/>
      <c r="I16" s="74">
        <f>Configuration!$H$41/2</f>
        <v>0.15833333333333333</v>
      </c>
      <c r="L16" s="4"/>
    </row>
    <row r="17" spans="2:12" x14ac:dyDescent="0.2">
      <c r="B17" s="16"/>
      <c r="E17" s="5"/>
      <c r="F17" s="326" t="s">
        <v>165</v>
      </c>
      <c r="G17" s="327"/>
      <c r="H17" s="328"/>
      <c r="I17" s="74">
        <f>Configuration!$H$41</f>
        <v>0.31666666666666665</v>
      </c>
      <c r="J17" s="71"/>
      <c r="K17" s="71"/>
      <c r="L17" s="4"/>
    </row>
    <row r="18" spans="2:12" x14ac:dyDescent="0.2">
      <c r="B18" s="16"/>
      <c r="F18" s="329" t="s">
        <v>252</v>
      </c>
      <c r="G18" s="330"/>
      <c r="H18" s="331"/>
      <c r="I18" s="74">
        <f>Configuration!$H$41</f>
        <v>0.31666666666666665</v>
      </c>
      <c r="L18" s="4"/>
    </row>
    <row r="19" spans="2:12" x14ac:dyDescent="0.2">
      <c r="B19" s="16"/>
      <c r="E19" s="5"/>
      <c r="F19" s="326" t="s">
        <v>255</v>
      </c>
      <c r="G19" s="327"/>
      <c r="H19" s="328"/>
      <c r="I19" s="74">
        <f>Configuration!$H$41</f>
        <v>0.31666666666666665</v>
      </c>
      <c r="J19" s="71"/>
      <c r="K19" s="71"/>
      <c r="L19" s="4"/>
    </row>
    <row r="20" spans="2:12" x14ac:dyDescent="0.2">
      <c r="B20" s="16"/>
      <c r="F20" s="329" t="s">
        <v>256</v>
      </c>
      <c r="G20" s="330"/>
      <c r="H20" s="331"/>
      <c r="I20" s="74">
        <f>Configuration!$H$41/2</f>
        <v>0.15833333333333333</v>
      </c>
      <c r="L20" s="4"/>
    </row>
    <row r="21" spans="2:12" x14ac:dyDescent="0.2">
      <c r="B21" s="16"/>
      <c r="F21" s="329" t="s">
        <v>162</v>
      </c>
      <c r="G21" s="330"/>
      <c r="H21" s="331"/>
      <c r="I21" s="74">
        <v>0.31666666666666665</v>
      </c>
      <c r="L21" s="4"/>
    </row>
    <row r="22" spans="2:12" x14ac:dyDescent="0.2">
      <c r="B22" s="16"/>
      <c r="F22" s="329" t="s">
        <v>259</v>
      </c>
      <c r="G22" s="330"/>
      <c r="H22" s="331"/>
      <c r="I22" s="74">
        <f>Configuration!$H$41</f>
        <v>0.31666666666666665</v>
      </c>
      <c r="L22" s="4"/>
    </row>
    <row r="23" spans="2:12" x14ac:dyDescent="0.2">
      <c r="B23" s="16"/>
      <c r="E23" s="72"/>
      <c r="F23" s="329" t="s">
        <v>168</v>
      </c>
      <c r="G23" s="330"/>
      <c r="H23" s="331"/>
      <c r="I23" s="74">
        <v>0</v>
      </c>
      <c r="L23" s="4"/>
    </row>
    <row r="24" spans="2:12" x14ac:dyDescent="0.2">
      <c r="B24" s="16"/>
      <c r="F24" s="342" t="s">
        <v>166</v>
      </c>
      <c r="G24" s="343"/>
      <c r="H24" s="344"/>
      <c r="I24" s="75">
        <f>Configuration!$H$41</f>
        <v>0.31666666666666665</v>
      </c>
      <c r="L24" s="4"/>
    </row>
    <row r="25" spans="2:12" x14ac:dyDescent="0.2">
      <c r="B25" s="16"/>
      <c r="E25" s="70"/>
      <c r="F25" s="335" t="s">
        <v>167</v>
      </c>
      <c r="G25" s="336"/>
      <c r="H25" s="337"/>
      <c r="I25" s="108">
        <v>0.5</v>
      </c>
      <c r="J25" s="71"/>
      <c r="K25" s="71"/>
      <c r="L25" s="4"/>
    </row>
    <row r="26" spans="2:12" x14ac:dyDescent="0.2">
      <c r="B26" s="16"/>
      <c r="F26" s="335"/>
      <c r="G26" s="336"/>
      <c r="H26" s="337"/>
      <c r="I26" s="108"/>
      <c r="L26" s="4"/>
    </row>
    <row r="27" spans="2:12" x14ac:dyDescent="0.2">
      <c r="B27" s="16"/>
      <c r="E27" s="70"/>
      <c r="F27" s="338"/>
      <c r="G27" s="339"/>
      <c r="H27" s="340"/>
      <c r="I27" s="109"/>
      <c r="J27" s="71"/>
      <c r="K27" s="71"/>
      <c r="L27" s="4"/>
    </row>
    <row r="28" spans="2:12" x14ac:dyDescent="0.2">
      <c r="B28" s="16"/>
      <c r="F28" s="335"/>
      <c r="G28" s="336"/>
      <c r="H28" s="337"/>
      <c r="I28" s="108"/>
      <c r="L28" s="4"/>
    </row>
    <row r="29" spans="2:12" x14ac:dyDescent="0.2">
      <c r="B29" s="16"/>
      <c r="E29" s="70"/>
      <c r="F29" s="338"/>
      <c r="G29" s="339"/>
      <c r="H29" s="340"/>
      <c r="I29" s="109"/>
      <c r="J29" s="71"/>
      <c r="K29" s="71"/>
      <c r="L29" s="4"/>
    </row>
    <row r="30" spans="2:12" x14ac:dyDescent="0.2">
      <c r="B30" s="16"/>
      <c r="F30" s="335"/>
      <c r="G30" s="336"/>
      <c r="H30" s="337"/>
      <c r="I30" s="108"/>
      <c r="L30" s="4"/>
    </row>
    <row r="31" spans="2:12" x14ac:dyDescent="0.2">
      <c r="B31" s="16"/>
      <c r="F31" s="335"/>
      <c r="G31" s="336"/>
      <c r="H31" s="337"/>
      <c r="I31" s="108"/>
      <c r="L31" s="4"/>
    </row>
    <row r="32" spans="2:12" x14ac:dyDescent="0.2">
      <c r="B32" s="16"/>
      <c r="E32" s="72"/>
      <c r="F32" s="335"/>
      <c r="G32" s="336"/>
      <c r="H32" s="337"/>
      <c r="I32" s="108"/>
      <c r="L32" s="4"/>
    </row>
    <row r="33" spans="2:12" x14ac:dyDescent="0.2">
      <c r="B33" s="16"/>
      <c r="F33" s="335"/>
      <c r="G33" s="336"/>
      <c r="H33" s="337"/>
      <c r="I33" s="108"/>
      <c r="L33" s="4"/>
    </row>
    <row r="34" spans="2:12" x14ac:dyDescent="0.2">
      <c r="B34" s="16"/>
      <c r="E34" s="70"/>
      <c r="F34" s="338"/>
      <c r="G34" s="339"/>
      <c r="H34" s="340"/>
      <c r="I34" s="110"/>
      <c r="J34" s="71"/>
      <c r="K34" s="71"/>
      <c r="L34" s="4"/>
    </row>
    <row r="35" spans="2:12" x14ac:dyDescent="0.2">
      <c r="B35" s="16"/>
      <c r="F35" s="345"/>
      <c r="G35" s="346"/>
      <c r="H35" s="347"/>
      <c r="I35" s="111"/>
      <c r="L35" s="4"/>
    </row>
    <row r="36" spans="2:12" x14ac:dyDescent="0.2">
      <c r="B36" s="16"/>
      <c r="E36" s="70"/>
      <c r="F36" s="70"/>
      <c r="G36" s="70"/>
      <c r="H36" s="68"/>
      <c r="I36" s="68"/>
      <c r="J36" s="71"/>
      <c r="K36" s="71"/>
      <c r="L36" s="4"/>
    </row>
    <row r="37" spans="2:12" ht="14.25" customHeight="1" x14ac:dyDescent="0.2">
      <c r="B37" s="16"/>
      <c r="D37" s="341" t="s">
        <v>169</v>
      </c>
      <c r="E37" s="341"/>
      <c r="F37" s="341"/>
      <c r="G37" s="341"/>
      <c r="H37" s="341"/>
      <c r="I37" s="341"/>
      <c r="J37" s="341"/>
      <c r="L37" s="4"/>
    </row>
    <row r="38" spans="2:12" ht="14.25" customHeight="1" x14ac:dyDescent="0.2">
      <c r="B38" s="16"/>
      <c r="D38" s="341" t="s">
        <v>170</v>
      </c>
      <c r="E38" s="341"/>
      <c r="F38" s="341"/>
      <c r="G38" s="341"/>
      <c r="H38" s="341"/>
      <c r="I38" s="341"/>
      <c r="J38" s="341"/>
      <c r="K38" s="71"/>
      <c r="L38" s="4"/>
    </row>
    <row r="39" spans="2:12" x14ac:dyDescent="0.2">
      <c r="B39" s="16"/>
      <c r="D39" s="173"/>
      <c r="E39" s="173"/>
      <c r="F39" s="173"/>
      <c r="G39" s="173"/>
      <c r="H39" s="173"/>
      <c r="I39" s="173"/>
      <c r="J39" s="173"/>
      <c r="L39" s="4"/>
    </row>
    <row r="40" spans="2:12" x14ac:dyDescent="0.2">
      <c r="B40" s="16"/>
      <c r="L40" s="4"/>
    </row>
    <row r="41" spans="2:12" x14ac:dyDescent="0.2">
      <c r="B41" s="16"/>
      <c r="L41" s="4"/>
    </row>
    <row r="42" spans="2:12" x14ac:dyDescent="0.2">
      <c r="B42" s="16"/>
      <c r="L42" s="4"/>
    </row>
    <row r="43" spans="2:12" x14ac:dyDescent="0.2">
      <c r="B43" s="16"/>
      <c r="L43" s="4"/>
    </row>
    <row r="44" spans="2:12" x14ac:dyDescent="0.2">
      <c r="B44" s="16"/>
      <c r="L44" s="4"/>
    </row>
    <row r="45" spans="2:12" x14ac:dyDescent="0.2">
      <c r="B45" s="16"/>
      <c r="L45" s="4"/>
    </row>
    <row r="46" spans="2:12" x14ac:dyDescent="0.2">
      <c r="B46" s="16"/>
      <c r="L46" s="4"/>
    </row>
    <row r="47" spans="2:12" x14ac:dyDescent="0.2">
      <c r="B47" s="16"/>
      <c r="L47" s="4"/>
    </row>
    <row r="48" spans="2:12" x14ac:dyDescent="0.2">
      <c r="B48" s="16"/>
      <c r="L48" s="4"/>
    </row>
    <row r="49" spans="2:12" x14ac:dyDescent="0.2">
      <c r="B49" s="16"/>
      <c r="L49" s="4"/>
    </row>
    <row r="50" spans="2:12" x14ac:dyDescent="0.2">
      <c r="B50" s="16"/>
      <c r="L50" s="4"/>
    </row>
    <row r="51" spans="2:12" x14ac:dyDescent="0.2">
      <c r="B51" s="16"/>
      <c r="L51" s="4"/>
    </row>
    <row r="52" spans="2:12" x14ac:dyDescent="0.2">
      <c r="B52" s="16"/>
      <c r="L52" s="4"/>
    </row>
    <row r="53" spans="2:12" x14ac:dyDescent="0.2">
      <c r="B53" s="13"/>
      <c r="C53" s="13"/>
      <c r="D53" s="13"/>
      <c r="E53" s="13"/>
      <c r="F53" s="13"/>
      <c r="G53" s="13"/>
      <c r="H53" s="13"/>
      <c r="I53" s="13"/>
      <c r="J53" s="13"/>
      <c r="K53" s="13"/>
      <c r="L53" s="13"/>
    </row>
  </sheetData>
  <sheetProtection password="EC91" sheet="1" objects="1" scenarios="1" selectLockedCells="1"/>
  <mergeCells count="25">
    <mergeCell ref="F21:H21"/>
    <mergeCell ref="F22:H22"/>
    <mergeCell ref="F23:H23"/>
    <mergeCell ref="F24:H24"/>
    <mergeCell ref="D37:J37"/>
    <mergeCell ref="F34:H34"/>
    <mergeCell ref="F35:H35"/>
    <mergeCell ref="F25:H25"/>
    <mergeCell ref="F26:H26"/>
    <mergeCell ref="F27:H27"/>
    <mergeCell ref="F28:H28"/>
    <mergeCell ref="F29:H29"/>
    <mergeCell ref="F30:H30"/>
    <mergeCell ref="F31:H31"/>
    <mergeCell ref="D38:J38"/>
    <mergeCell ref="F33:H33"/>
    <mergeCell ref="F32:H32"/>
    <mergeCell ref="F19:H19"/>
    <mergeCell ref="F20:H20"/>
    <mergeCell ref="F18:H18"/>
    <mergeCell ref="G8:J9"/>
    <mergeCell ref="E13:J13"/>
    <mergeCell ref="F15:H15"/>
    <mergeCell ref="F16:H16"/>
    <mergeCell ref="F17:H17"/>
  </mergeCells>
  <dataValidations count="1">
    <dataValidation type="list" allowBlank="1" showInputMessage="1" showErrorMessage="1" sqref="I34" xr:uid="{00000000-0002-0000-0200-000000000000}">
      <formula1>"Voltijds,Halftijds"</formula1>
    </dataValidation>
  </dataValidations>
  <pageMargins left="1.0416666666666666E-2" right="1.0416666666666666E-2" top="1.0416666666666666E-2" bottom="0.75" header="0.3" footer="0.3"/>
  <pageSetup paperSize="9" fitToHeight="0" orientation="portrait"/>
  <ignoredErrors>
    <ignoredError sqref="I16" formula="1"/>
  </ignoredError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F131"/>
  <sheetViews>
    <sheetView zoomScaleNormal="100" workbookViewId="0">
      <selection activeCell="D8" sqref="D8"/>
    </sheetView>
  </sheetViews>
  <sheetFormatPr defaultRowHeight="12.75" customHeight="1" x14ac:dyDescent="0.2"/>
  <cols>
    <col min="1" max="1" width="1.42578125" style="17" customWidth="1"/>
    <col min="2" max="2" width="4" style="19" customWidth="1"/>
    <col min="3" max="3" width="6.85546875" style="17" customWidth="1"/>
    <col min="4" max="4" width="17.7109375" style="17" customWidth="1"/>
    <col min="5" max="5" width="4.42578125" style="17" customWidth="1"/>
    <col min="6" max="7" width="5.140625" style="37" customWidth="1"/>
    <col min="8" max="11" width="5.140625" style="17" customWidth="1"/>
    <col min="12" max="12" width="5.7109375" style="19" customWidth="1"/>
    <col min="13" max="13" width="6.28515625" style="19" customWidth="1"/>
    <col min="14" max="14" width="6.140625" style="18" customWidth="1"/>
    <col min="15" max="15" width="2.42578125" style="18" customWidth="1"/>
    <col min="16" max="16" width="6.42578125" style="17" customWidth="1"/>
    <col min="17" max="20" width="2.85546875" style="17" customWidth="1"/>
    <col min="21" max="21" width="5.7109375" style="17" customWidth="1"/>
    <col min="22" max="23" width="7.42578125" style="17" customWidth="1"/>
    <col min="24" max="24" width="7.7109375" style="17" customWidth="1"/>
    <col min="25" max="25" width="5.28515625" style="141" customWidth="1"/>
    <col min="26" max="26" width="6.42578125" style="141" customWidth="1"/>
    <col min="27" max="27" width="7.7109375" style="141" customWidth="1"/>
    <col min="28" max="28" width="7.85546875" style="141" hidden="1" customWidth="1"/>
    <col min="29" max="32" width="12.42578125" style="141" hidden="1" customWidth="1"/>
    <col min="33" max="33" width="8" style="141" hidden="1" customWidth="1"/>
    <col min="34" max="34" width="9.140625" style="141" hidden="1" customWidth="1"/>
    <col min="35" max="45" width="7.7109375" style="141" hidden="1" customWidth="1"/>
    <col min="46" max="48" width="12.140625" style="141" hidden="1" customWidth="1"/>
    <col min="49" max="49" width="9.85546875" style="290" hidden="1" customWidth="1"/>
    <col min="50" max="51" width="9.85546875" style="141" hidden="1" customWidth="1"/>
    <col min="52" max="256" width="11.42578125" style="17" customWidth="1"/>
    <col min="257" max="16384" width="9.140625" style="17"/>
  </cols>
  <sheetData>
    <row r="1" spans="1:58" ht="5.25" customHeight="1" x14ac:dyDescent="0.2"/>
    <row r="2" spans="1:58" ht="12.75" customHeight="1" x14ac:dyDescent="0.2">
      <c r="D2" s="455" t="str">
        <f>CONCATENATE("Utilisateur: ",Configuration!H17)</f>
        <v xml:space="preserve">Utilisateur: </v>
      </c>
      <c r="E2" s="455"/>
      <c r="F2" s="455"/>
      <c r="G2" s="455"/>
      <c r="I2" s="456" t="s">
        <v>174</v>
      </c>
      <c r="J2" s="438"/>
      <c r="K2" s="438"/>
      <c r="L2" s="438"/>
      <c r="M2" s="18"/>
      <c r="N2" s="456" t="s">
        <v>177</v>
      </c>
      <c r="O2" s="438"/>
      <c r="P2" s="438"/>
      <c r="Q2" s="438"/>
      <c r="R2" s="439" t="s">
        <v>179</v>
      </c>
      <c r="S2" s="439"/>
      <c r="T2" s="20"/>
    </row>
    <row r="3" spans="1:58" ht="12.75" customHeight="1" x14ac:dyDescent="0.2">
      <c r="D3" s="440" t="str">
        <f>Configuration!G8</f>
        <v>OTT Tool 2024</v>
      </c>
      <c r="E3" s="440"/>
      <c r="F3" s="440"/>
      <c r="G3" s="440"/>
      <c r="I3" s="26"/>
      <c r="J3" s="438" t="s">
        <v>175</v>
      </c>
      <c r="K3" s="438"/>
      <c r="L3" s="438"/>
      <c r="M3" s="45">
        <f>Configuration!H26</f>
        <v>0</v>
      </c>
      <c r="N3" s="456" t="s">
        <v>178</v>
      </c>
      <c r="O3" s="438"/>
      <c r="P3" s="438"/>
      <c r="Q3" s="438"/>
      <c r="R3" s="439" t="s">
        <v>180</v>
      </c>
      <c r="S3" s="439"/>
      <c r="T3" s="20"/>
    </row>
    <row r="4" spans="1:58" ht="12.75" customHeight="1" x14ac:dyDescent="0.2">
      <c r="D4" s="440" t="s">
        <v>173</v>
      </c>
      <c r="E4" s="440"/>
      <c r="F4" s="440"/>
      <c r="G4" s="440"/>
      <c r="I4" s="20"/>
      <c r="J4" s="438" t="s">
        <v>176</v>
      </c>
      <c r="K4" s="438"/>
      <c r="L4" s="438"/>
      <c r="M4" s="45">
        <f>Configuration!H28</f>
        <v>0</v>
      </c>
      <c r="N4" s="21"/>
      <c r="O4" s="19"/>
      <c r="Q4" s="18"/>
      <c r="T4" s="20"/>
      <c r="AB4" s="443" t="s">
        <v>259</v>
      </c>
      <c r="AC4" s="432" t="s">
        <v>160</v>
      </c>
      <c r="AD4" s="432" t="s">
        <v>255</v>
      </c>
      <c r="AE4" s="432" t="s">
        <v>166</v>
      </c>
      <c r="AF4" s="454" t="s">
        <v>168</v>
      </c>
      <c r="AG4" s="429" t="s">
        <v>45</v>
      </c>
      <c r="AJ4" s="121"/>
      <c r="AO4" s="426" t="s">
        <v>48</v>
      </c>
      <c r="AP4" s="427"/>
      <c r="AQ4" s="427"/>
      <c r="AR4" s="428"/>
      <c r="AS4" s="430" t="s">
        <v>52</v>
      </c>
      <c r="AT4" s="431" t="s">
        <v>53</v>
      </c>
      <c r="AU4" s="431" t="s">
        <v>60</v>
      </c>
      <c r="AV4" s="418" t="s">
        <v>62</v>
      </c>
      <c r="AW4" s="425" t="s">
        <v>63</v>
      </c>
    </row>
    <row r="5" spans="1:58" ht="12.75" customHeight="1" x14ac:dyDescent="0.2">
      <c r="B5" s="35"/>
      <c r="AB5" s="443"/>
      <c r="AC5" s="432"/>
      <c r="AD5" s="432"/>
      <c r="AE5" s="432"/>
      <c r="AF5" s="454"/>
      <c r="AG5" s="429"/>
      <c r="AH5" s="426" t="s">
        <v>47</v>
      </c>
      <c r="AI5" s="427"/>
      <c r="AJ5" s="428"/>
      <c r="AK5" s="426" t="s">
        <v>46</v>
      </c>
      <c r="AL5" s="427"/>
      <c r="AM5" s="427"/>
      <c r="AN5" s="428"/>
      <c r="AO5" s="105" t="s">
        <v>49</v>
      </c>
      <c r="AP5" s="94" t="s">
        <v>50</v>
      </c>
      <c r="AQ5" s="94" t="s">
        <v>51</v>
      </c>
      <c r="AR5" s="112" t="s">
        <v>46</v>
      </c>
      <c r="AS5" s="430"/>
      <c r="AT5" s="431"/>
      <c r="AU5" s="431"/>
      <c r="AV5" s="418"/>
      <c r="AW5" s="425"/>
    </row>
    <row r="6" spans="1:58" ht="12.75" customHeight="1" x14ac:dyDescent="0.2">
      <c r="A6" s="34"/>
      <c r="B6" s="419" t="s">
        <v>181</v>
      </c>
      <c r="C6" s="421" t="s">
        <v>182</v>
      </c>
      <c r="D6" s="421" t="s">
        <v>183</v>
      </c>
      <c r="E6" s="423" t="s">
        <v>184</v>
      </c>
      <c r="F6" s="446" t="s">
        <v>111</v>
      </c>
      <c r="G6" s="447"/>
      <c r="H6" s="433" t="s">
        <v>111</v>
      </c>
      <c r="I6" s="434"/>
      <c r="J6" s="433" t="s">
        <v>111</v>
      </c>
      <c r="K6" s="434"/>
      <c r="L6" s="433" t="s">
        <v>185</v>
      </c>
      <c r="M6" s="435"/>
      <c r="N6" s="434"/>
      <c r="O6" s="436" t="s">
        <v>41</v>
      </c>
      <c r="P6" s="437"/>
      <c r="Q6" s="433" t="s">
        <v>189</v>
      </c>
      <c r="R6" s="435"/>
      <c r="S6" s="435"/>
      <c r="T6" s="434"/>
      <c r="U6" s="27" t="s">
        <v>190</v>
      </c>
      <c r="V6" s="27" t="s">
        <v>191</v>
      </c>
      <c r="W6" s="27" t="s">
        <v>191</v>
      </c>
      <c r="X6" s="444" t="s">
        <v>192</v>
      </c>
      <c r="Y6" s="137" t="s">
        <v>195</v>
      </c>
      <c r="Z6" s="421" t="s">
        <v>245</v>
      </c>
      <c r="AA6" s="137" t="s">
        <v>246</v>
      </c>
      <c r="AB6" s="443"/>
      <c r="AC6" s="432"/>
      <c r="AD6" s="432"/>
      <c r="AE6" s="432"/>
      <c r="AF6" s="454"/>
      <c r="AG6" s="429"/>
      <c r="AH6" s="102">
        <v>0.79166666666666663</v>
      </c>
      <c r="AI6" s="100">
        <v>0</v>
      </c>
      <c r="AJ6" s="104">
        <v>0.79166666666666663</v>
      </c>
      <c r="AK6" s="120">
        <v>0.91666666666666663</v>
      </c>
      <c r="AL6" s="100">
        <v>0</v>
      </c>
      <c r="AM6" s="96">
        <v>0.79166666666666663</v>
      </c>
      <c r="AN6" s="104">
        <v>0.91666666666666663</v>
      </c>
      <c r="AO6" s="113">
        <v>0.25</v>
      </c>
      <c r="AP6" s="114">
        <v>0.5</v>
      </c>
      <c r="AQ6" s="114">
        <v>0.75</v>
      </c>
      <c r="AR6" s="115">
        <v>0</v>
      </c>
      <c r="AS6" s="430"/>
      <c r="AT6" s="431"/>
      <c r="AU6" s="431"/>
      <c r="AV6" s="418"/>
      <c r="AW6" s="425"/>
      <c r="AZ6" s="22"/>
      <c r="BA6" s="23"/>
    </row>
    <row r="7" spans="1:58" ht="12.75" customHeight="1" x14ac:dyDescent="0.2">
      <c r="A7" s="34"/>
      <c r="B7" s="420"/>
      <c r="C7" s="422"/>
      <c r="D7" s="422"/>
      <c r="E7" s="424"/>
      <c r="F7" s="38" t="s">
        <v>112</v>
      </c>
      <c r="G7" s="39" t="s">
        <v>113</v>
      </c>
      <c r="H7" s="28" t="s">
        <v>112</v>
      </c>
      <c r="I7" s="139" t="s">
        <v>113</v>
      </c>
      <c r="J7" s="28" t="s">
        <v>112</v>
      </c>
      <c r="K7" s="139" t="s">
        <v>113</v>
      </c>
      <c r="L7" s="28" t="s">
        <v>186</v>
      </c>
      <c r="M7" s="29" t="s">
        <v>187</v>
      </c>
      <c r="N7" s="139" t="s">
        <v>44</v>
      </c>
      <c r="O7" s="441" t="s">
        <v>188</v>
      </c>
      <c r="P7" s="442"/>
      <c r="Q7" s="31" t="s">
        <v>198</v>
      </c>
      <c r="R7" s="32" t="s">
        <v>42</v>
      </c>
      <c r="S7" s="32" t="s">
        <v>199</v>
      </c>
      <c r="T7" s="140" t="s">
        <v>200</v>
      </c>
      <c r="U7" s="30" t="s">
        <v>43</v>
      </c>
      <c r="V7" s="33" t="s">
        <v>193</v>
      </c>
      <c r="W7" s="33" t="s">
        <v>194</v>
      </c>
      <c r="X7" s="445"/>
      <c r="Y7" s="138" t="s">
        <v>196</v>
      </c>
      <c r="Z7" s="422"/>
      <c r="AA7" s="138" t="s">
        <v>247</v>
      </c>
      <c r="AB7" s="443"/>
      <c r="AC7" s="432"/>
      <c r="AD7" s="432"/>
      <c r="AE7" s="432"/>
      <c r="AF7" s="454"/>
      <c r="AG7" s="429"/>
      <c r="AH7" s="102">
        <v>1</v>
      </c>
      <c r="AI7" s="100">
        <v>0.29166666666666669</v>
      </c>
      <c r="AJ7" s="104">
        <v>0.29166666666666669</v>
      </c>
      <c r="AK7" s="102">
        <v>1</v>
      </c>
      <c r="AL7" s="99">
        <v>0.25</v>
      </c>
      <c r="AM7" s="95">
        <v>0.91666666666666663</v>
      </c>
      <c r="AN7" s="103">
        <v>0.25</v>
      </c>
      <c r="AO7" s="106">
        <v>0.33333333333333331</v>
      </c>
      <c r="AP7" s="96">
        <v>0.58333333333333337</v>
      </c>
      <c r="AQ7" s="96">
        <v>0.83333333333333337</v>
      </c>
      <c r="AR7" s="104">
        <v>8.3333333333333329E-2</v>
      </c>
      <c r="AS7" s="430"/>
      <c r="AT7" s="431"/>
      <c r="AU7" s="431"/>
      <c r="AV7" s="418"/>
      <c r="AW7" s="425"/>
      <c r="AZ7" s="22" t="s">
        <v>197</v>
      </c>
      <c r="BA7" s="23"/>
    </row>
    <row r="8" spans="1:58" ht="12.75" customHeight="1" x14ac:dyDescent="0.2">
      <c r="A8" s="34"/>
      <c r="B8" s="59" t="str">
        <f t="shared" ref="B8:B38" si="0">CHOOSE(WEEKDAY(C8),"Di","Lu","Ma","Me","Je","Ve","Sa")</f>
        <v>Lu</v>
      </c>
      <c r="C8" s="60">
        <f>DATE(RIGHT(Configuration!$G$8,4),1,1)</f>
        <v>45292</v>
      </c>
      <c r="D8" s="61" t="s">
        <v>259</v>
      </c>
      <c r="E8" s="62"/>
      <c r="F8" s="63"/>
      <c r="G8" s="64"/>
      <c r="H8" s="63"/>
      <c r="I8" s="64"/>
      <c r="J8" s="63"/>
      <c r="K8" s="64"/>
      <c r="L8" s="40">
        <f t="shared" ref="L8:L32" si="1">(G8-F8)+(I8-H8)+(K8-J8)+SUM(AB8,AC8,AD8,AE8,AF8,AG8)</f>
        <v>0.31666666666666665</v>
      </c>
      <c r="M8" s="65">
        <f>L8+M3</f>
        <v>0.31666666666666665</v>
      </c>
      <c r="N8" s="66">
        <f>IF(AND(D8&lt;&gt;"Jour libre 4/5",B8&lt;&gt;"Sa",B8&lt;&gt;"Di"),SUM(N7,Configuration!$H$41),SUM(N7))</f>
        <v>0.31666666666666665</v>
      </c>
      <c r="O8" s="48" t="str">
        <f>IF(M8-N8-$M$4&gt;=0,"+","-")</f>
        <v>+</v>
      </c>
      <c r="P8" s="67">
        <f>ABS(M8-N8-$M$4)</f>
        <v>0</v>
      </c>
      <c r="Q8" s="164">
        <f>AO8</f>
        <v>0</v>
      </c>
      <c r="R8" s="165">
        <f>AP8</f>
        <v>0</v>
      </c>
      <c r="S8" s="165">
        <f>AQ8</f>
        <v>0</v>
      </c>
      <c r="T8" s="166">
        <f>AR8</f>
        <v>0</v>
      </c>
      <c r="U8" s="93">
        <f t="shared" ref="U8:U38" si="2">IF(OR(AND(D8="Jour férié semaine",((G8-F8)+(I8-H8)+(K8-J8&gt;0))),B8="Sa",B8="Di"),L8,0)</f>
        <v>0</v>
      </c>
      <c r="V8" s="93">
        <f t="shared" ref="V8:V38" si="3">IF($R$2="Oui",AM8,0)</f>
        <v>0</v>
      </c>
      <c r="W8" s="93">
        <f t="shared" ref="W8:W38" si="4">IF($R$2="Oui",AN8,0)</f>
        <v>0</v>
      </c>
      <c r="X8" s="93">
        <f t="shared" ref="X8:X38" si="5">IF($R$3="Oui",AJ8,0)</f>
        <v>0</v>
      </c>
      <c r="Y8" s="207"/>
      <c r="Z8" s="208"/>
      <c r="AA8" s="208"/>
      <c r="AB8" s="128">
        <f>IF(AND(D8="Jour férié semaine",((G8-F8)+(I8-H8)+(K8-J8)=0)),VLOOKUP(D8,Systeemgegevens!$J:$K,2,FALSE),0)</f>
        <v>0.31666666666666665</v>
      </c>
      <c r="AC8" s="43">
        <f>IF(AND(NOT(ISERROR(FIND("Congé",D8))),ISERROR(FIND("1/2",D8)),ISERROR(FIND("Synd",D8)),ISERROR(FIND("synd",D8)),(G8-F8+I8-H8+K8-J8)=0),VLOOKUP(D8,Systeemgegevens!$J:$K,2,FALSE),IF(AND(NOT(ISERROR(FIND("1/2 Congé + ",D8))),(G8-F8+I8-H8+K8-J8)=0),VLOOKUP(D8,Systeemgegevens!$J:$K,2,FALSE)/2,IF(AND(NOT(ISERROR(FIND("1/2 Congé",D8))),ISERROR(FIND(" + ",D8)),ISERROR(FIND("1/2 Congé Synd.",D8))),VLOOKUP(D8,Systeemgegevens!$J:$K,2,FALSE),0)))</f>
        <v>0</v>
      </c>
      <c r="AD8" s="43">
        <f>IF(AND(OR(D8="1/2 Congé Synd.",D8="Congé Synd."),((G8-F8)+(I8-H8)+(K8-J8)=0)),VLOOKUP(D8,Systeemgegevens!$J:$K,2,FALSE),IF(AND(D8="1/2 Congé + 1/2 synd.",((G8-F8)+(I8-H8)+(K8-J8)=0)),AC8,0))</f>
        <v>0</v>
      </c>
      <c r="AE8" s="43">
        <f>IF(AND(D8="Jour de pont",((G8-F8)+(I8-H8)+(K8-J8)=0)),VLOOKUP(D8,Systeemgegevens!$J:$K,2,FALSE),0)</f>
        <v>0</v>
      </c>
      <c r="AF8" s="43">
        <f>IF(AND(D8="Jour libre 4/5",AND((G8-F8)+(I8-H8)+(K8-J8)=0)),VLOOKUP(D8,Systeemgegevens!$J:$K,2,FALSE),0)</f>
        <v>0</v>
      </c>
      <c r="AG8" s="118">
        <f>IF(AND(D8&lt;&gt;"",SUM(AB8:AF8)=0,D8&lt;&gt;$AB$4,D8&lt;&gt;$AC$4,D8&lt;&gt;$AD$4,D8&lt;&gt;$AE$4,D8&lt;&gt;$AF$4),VLOOKUP(D8,Systeemgegevens!$J:$K,2,FALSE),0)</f>
        <v>0</v>
      </c>
      <c r="AH8" s="119">
        <f t="shared" ref="AH8:AH32" si="6">SUM(IF(AND(G8&gt;$AH$6,F8&lt;=$AH$6),G8-$AH$6,0),IF(F8&gt;$AH$6,G8-F8,0),IF(AND(I8&gt;$AH$6,H8&lt;=$AH$6),I8-$AH$6,0),IF(H8&gt;$AH$6,I8-H8,0),IF(AND(K8&gt;$AH$6,J8&lt;=$AH$6),K8-$AH$6,0),IF(J8&gt;$AH$6,K8-J8,0))</f>
        <v>0</v>
      </c>
      <c r="AI8" s="101">
        <f t="shared" ref="AI8:AI32" si="7">SUM(IF(AND(G8&gt;=$AI$7,F8&lt;$AI$7),$AI$7-F8,0),IF(G8&lt;$AI$7,G8-F8,0),IF(AND(I8&gt;=$AI$7,H8&lt;$AI$7),$AI$7-H8,0),IF(I8&lt;$AI$7,I8-H8,0),IF(AND(K8&gt;=$AI$7,J8&lt;$AI$7),$AI$7-J8,0),IF(K8&lt;$AI$7,K8-J8,0))</f>
        <v>0</v>
      </c>
      <c r="AJ8" s="118">
        <f>SUM(AH8:AI8)</f>
        <v>0</v>
      </c>
      <c r="AK8" s="119">
        <f t="shared" ref="AK8:AK32" si="8">SUM(IF(AND(G8&gt;$AK$6,F8&lt;=$AK$6),G8-$AK$6,0),IF(F8&gt;$AK$6,G8-F8,0),IF(AND(I8&gt;$AK$6,H8&lt;=$AK$6),I8-$AK$6,0),IF(H8&gt;$AK$6,I8-H8,0),IF(AND(K8&gt;$AK$6,J8&lt;=$AK$6),K8-$AK$6,0),IF(J8&gt;$AK$6,K8-J8,0))</f>
        <v>0</v>
      </c>
      <c r="AL8" s="101">
        <f t="shared" ref="AL8:AL32" si="9">SUM(IF(AND(G8&gt;=$AL$7,F8&lt;$AL$7),$AL$7-F8,0),IF(G8&lt;$AL$7,G8-F8,0),IF(AND(I8&gt;=$AL$7,H8&lt;$AL$7),$AL$7-H8,0),IF(I8&lt;$AL$7,I8-H8,0),IF(AND(K8&gt;=$AL$7,J8&lt;$AL$7),$AL$7-J8,0),IF(K8&lt;$AL$7,K8-J8,0))</f>
        <v>0</v>
      </c>
      <c r="AM8" s="43">
        <f>AH8-AK8</f>
        <v>0</v>
      </c>
      <c r="AN8" s="118">
        <f>AK8+AL8</f>
        <v>0</v>
      </c>
      <c r="AO8" s="122">
        <f t="shared" ref="AO8:AO32" si="10">SUM(IF(AND(F8&lt;=$AO$6,G8&gt;=$AO$7),1,0),IF(AND(H8&lt;=$AO$6,I8&gt;=$AO$7),1,0),IF(AND(J8&lt;=$AO$6,K8&gt;=$AO$7),1,0))</f>
        <v>0</v>
      </c>
      <c r="AP8" s="107">
        <f t="shared" ref="AP8:AP32" si="11">SUM(IF(AND(F8&lt;=$AP$6,G8&gt;=$AP$7),1,0),IF(AND(H8&lt;=$AP$6,I8&gt;=$AP$7),1,0),IF(AND(J8&lt;=$AP$6,K8&gt;=$AP$7),1,0))</f>
        <v>0</v>
      </c>
      <c r="AQ8" s="107">
        <f t="shared" ref="AQ8:AQ32" si="12">SUM(IF(AND(F8&lt;=$AQ$6,G8&gt;=$AQ$7),1,0),IF(AND(H8&lt;=$AQ$6,I8&gt;=$AQ$7),1,0),IF(AND(J8&lt;=$AQ$6,K8&gt;=$AQ$7),1,0))</f>
        <v>0</v>
      </c>
      <c r="AR8" s="123">
        <f t="shared" ref="AR8:AR32" si="13">SUM(IF(AND(F8&lt;=$AR$6,G8&gt;=$AR$7),1,0),IF(AND(H8&lt;=$AR$6,I8&gt;=$AR$7),1,0),IF(AND(J8&lt;=$AR$6,K8&gt;=$AR$7),1,0))</f>
        <v>0</v>
      </c>
      <c r="AS8" s="124">
        <f t="shared" ref="AS8:AS38" si="14">IF(OR(E8="M",E8="ME"),1,0)</f>
        <v>0</v>
      </c>
      <c r="AT8" s="124">
        <f t="shared" ref="AT8:AT38" si="15">IF(OR(E8="E",E8="ME"),1,0)</f>
        <v>0</v>
      </c>
      <c r="AU8" s="124">
        <f t="shared" ref="AU8:AU38" si="16">IF(AND(OR(D8="Jour férié semaine",D8="Jour de pont"),((G8-F8)+(I8-H8)+(K8-J8)&gt;0)),1,0)</f>
        <v>0</v>
      </c>
      <c r="AV8" s="117" t="s">
        <v>36</v>
      </c>
      <c r="AW8" s="291">
        <f>IF(($R$41=AV8)*AND($R$42&lt;&gt;""),VLOOKUP($R$42,'Barèmes police'!$B$4:$C$30,2),0)</f>
        <v>14703.88</v>
      </c>
      <c r="AX8" s="15"/>
      <c r="AY8" s="14"/>
      <c r="AZ8" s="269"/>
      <c r="BA8" s="154"/>
      <c r="BB8" s="154"/>
      <c r="BC8" s="154"/>
      <c r="BD8" s="154"/>
      <c r="BE8" s="154"/>
      <c r="BF8" s="154"/>
    </row>
    <row r="9" spans="1:58" ht="12.75" customHeight="1" x14ac:dyDescent="0.2">
      <c r="A9" s="34"/>
      <c r="B9" s="24" t="str">
        <f t="shared" si="0"/>
        <v>Ma</v>
      </c>
      <c r="C9" s="25">
        <f>C8+1</f>
        <v>45293</v>
      </c>
      <c r="D9" s="51"/>
      <c r="E9" s="116"/>
      <c r="F9" s="52"/>
      <c r="G9" s="53"/>
      <c r="H9" s="52"/>
      <c r="I9" s="53"/>
      <c r="J9" s="54"/>
      <c r="K9" s="55"/>
      <c r="L9" s="40">
        <f t="shared" si="1"/>
        <v>0</v>
      </c>
      <c r="M9" s="41">
        <f>M8+L9</f>
        <v>0.31666666666666665</v>
      </c>
      <c r="N9" s="42">
        <f>IF(AND(D9&lt;&gt;"Jour libre 4/5",B9&lt;&gt;"Sa",B9&lt;&gt;"Di"),SUM(N8,Configuration!$H$41),SUM(N8))</f>
        <v>0.6333333333333333</v>
      </c>
      <c r="O9" s="49" t="str">
        <f>IF(M9-N9-$M$4&gt;=0,"+","-")</f>
        <v>-</v>
      </c>
      <c r="P9" s="143">
        <f t="shared" ref="P9:P38" si="17">ABS(M9-N9-$M$4)</f>
        <v>0.31666666666666665</v>
      </c>
      <c r="Q9" s="167">
        <f t="shared" ref="Q9:T38" si="18">AO9</f>
        <v>0</v>
      </c>
      <c r="R9" s="168">
        <f t="shared" si="18"/>
        <v>0</v>
      </c>
      <c r="S9" s="168">
        <f t="shared" si="18"/>
        <v>0</v>
      </c>
      <c r="T9" s="169">
        <f t="shared" si="18"/>
        <v>0</v>
      </c>
      <c r="U9" s="97">
        <f t="shared" si="2"/>
        <v>0</v>
      </c>
      <c r="V9" s="97">
        <f t="shared" si="3"/>
        <v>0</v>
      </c>
      <c r="W9" s="97">
        <f t="shared" si="4"/>
        <v>0</v>
      </c>
      <c r="X9" s="97">
        <f t="shared" si="5"/>
        <v>0</v>
      </c>
      <c r="Y9" s="209"/>
      <c r="Z9" s="210"/>
      <c r="AA9" s="210"/>
      <c r="AB9" s="128">
        <f>IF(AND(D9="Jour férié semaine",((G9-F9)+(I9-H9)+(K9-J9)=0)),VLOOKUP(D9,Systeemgegevens!$J:$K,2,FALSE),0)</f>
        <v>0</v>
      </c>
      <c r="AC9" s="43">
        <f>IF(AND(NOT(ISERROR(FIND("Congé",D9))),ISERROR(FIND("1/2",D9)),ISERROR(FIND("Synd",D9)),ISERROR(FIND("synd",D9)),(G9-F9+I9-H9+K9-J9)=0),VLOOKUP(D9,Systeemgegevens!$J:$K,2,FALSE),IF(AND(NOT(ISERROR(FIND("1/2 Congé + ",D9))),(G9-F9+I9-H9+K9-J9)=0),VLOOKUP(D9,Systeemgegevens!$J:$K,2,FALSE)/2,IF(AND(NOT(ISERROR(FIND("1/2 Congé",D9))),ISERROR(FIND(" + ",D9)),ISERROR(FIND("1/2 Congé Synd.",D9))),VLOOKUP(D9,Systeemgegevens!$J:$K,2,FALSE),0)))</f>
        <v>0</v>
      </c>
      <c r="AD9" s="43">
        <f>IF(AND(OR(D9="1/2 Congé Synd.",D9="Congé Synd."),((G9-F9)+(I9-H9)+(K9-J9)=0)),VLOOKUP(D9,Systeemgegevens!$J:$K,2,FALSE),IF(AND(D9="1/2 Congé + 1/2 synd.",((G9-F9)+(I9-H9)+(K9-J9)=0)),AC9,0))</f>
        <v>0</v>
      </c>
      <c r="AE9" s="43">
        <f>IF(AND(D9="Jour de pont",((G9-F9)+(I9-H9)+(K9-J9)=0)),VLOOKUP(D9,Systeemgegevens!$J:$K,2,FALSE),0)</f>
        <v>0</v>
      </c>
      <c r="AF9" s="43">
        <f>IF(AND(D9="Jour libre 4/5",AND((G9-F9)+(I9-H9)+(K9-J9)=0)),VLOOKUP(D9,Systeemgegevens!$J:$K,2,FALSE),0)</f>
        <v>0</v>
      </c>
      <c r="AG9" s="118">
        <f>IF(AND(D9&lt;&gt;"",SUM(AB9:AF9)=0,D9&lt;&gt;$AB$4,D9&lt;&gt;$AC$4,D9&lt;&gt;$AE$4,D9&lt;&gt;$AF$4),VLOOKUP(D9,Systeemgegevens!$J:$K,2,FALSE),0)</f>
        <v>0</v>
      </c>
      <c r="AH9" s="119">
        <f t="shared" si="6"/>
        <v>0</v>
      </c>
      <c r="AI9" s="101">
        <f t="shared" si="7"/>
        <v>0</v>
      </c>
      <c r="AJ9" s="118">
        <f t="shared" ref="AJ9:AJ38" si="19">SUM(AH9:AI9)</f>
        <v>0</v>
      </c>
      <c r="AK9" s="119">
        <f t="shared" si="8"/>
        <v>0</v>
      </c>
      <c r="AL9" s="101">
        <f t="shared" si="9"/>
        <v>0</v>
      </c>
      <c r="AM9" s="43">
        <f t="shared" ref="AM9:AM38" si="20">AH9-AK9</f>
        <v>0</v>
      </c>
      <c r="AN9" s="118">
        <f t="shared" ref="AN9:AN38" si="21">AK9+AL9</f>
        <v>0</v>
      </c>
      <c r="AO9" s="122">
        <f t="shared" si="10"/>
        <v>0</v>
      </c>
      <c r="AP9" s="107">
        <f t="shared" si="11"/>
        <v>0</v>
      </c>
      <c r="AQ9" s="107">
        <f t="shared" si="12"/>
        <v>0</v>
      </c>
      <c r="AR9" s="123">
        <f t="shared" si="13"/>
        <v>0</v>
      </c>
      <c r="AS9" s="124">
        <f t="shared" si="14"/>
        <v>0</v>
      </c>
      <c r="AT9" s="124">
        <f t="shared" si="15"/>
        <v>0</v>
      </c>
      <c r="AU9" s="124">
        <f t="shared" si="16"/>
        <v>0</v>
      </c>
      <c r="AV9" s="117" t="s">
        <v>35</v>
      </c>
      <c r="AW9" s="291">
        <f>IF(($R$41=AV9)*AND($R$42&lt;&gt;""),VLOOKUP($R$42,'Barèmes police'!$E$4:$F$30,2),0)</f>
        <v>0</v>
      </c>
      <c r="AX9" s="16" t="str">
        <f>IF('Types de jours'!F15&lt;&gt;"",'Types de jours'!F15,"")</f>
        <v>Congé</v>
      </c>
      <c r="AY9" s="144">
        <f>IF(AX9&lt;&gt;"",'Types de jours'!I15,"")</f>
        <v>0.31666666666666665</v>
      </c>
      <c r="AZ9" s="269"/>
      <c r="BA9" s="154"/>
      <c r="BB9" s="154"/>
      <c r="BC9" s="154"/>
      <c r="BD9" s="154"/>
      <c r="BE9" s="154"/>
      <c r="BF9" s="154"/>
    </row>
    <row r="10" spans="1:58" ht="12.75" customHeight="1" x14ac:dyDescent="0.2">
      <c r="A10" s="34"/>
      <c r="B10" s="24" t="str">
        <f t="shared" si="0"/>
        <v>Me</v>
      </c>
      <c r="C10" s="25">
        <f t="shared" ref="C10:C38" si="22">C9+1</f>
        <v>45294</v>
      </c>
      <c r="D10" s="51"/>
      <c r="E10" s="116"/>
      <c r="F10" s="52"/>
      <c r="G10" s="53"/>
      <c r="H10" s="52"/>
      <c r="I10" s="53"/>
      <c r="J10" s="54"/>
      <c r="K10" s="55"/>
      <c r="L10" s="40">
        <f t="shared" si="1"/>
        <v>0</v>
      </c>
      <c r="M10" s="41">
        <f t="shared" ref="M10:M37" si="23">M9+L10</f>
        <v>0.31666666666666665</v>
      </c>
      <c r="N10" s="42">
        <f>IF(AND(D10&lt;&gt;"Jour libre 4/5",B10&lt;&gt;"Sa",B10&lt;&gt;"Di"),SUM(N9,Configuration!$H$41),SUM(N9))</f>
        <v>0.95</v>
      </c>
      <c r="O10" s="49" t="str">
        <f t="shared" ref="O10:O38" si="24">IF(M10-N10-$M$4&gt;=0,"+","-")</f>
        <v>-</v>
      </c>
      <c r="P10" s="143">
        <f t="shared" si="17"/>
        <v>0.6333333333333333</v>
      </c>
      <c r="Q10" s="167">
        <f t="shared" si="18"/>
        <v>0</v>
      </c>
      <c r="R10" s="168">
        <f t="shared" si="18"/>
        <v>0</v>
      </c>
      <c r="S10" s="168">
        <f t="shared" si="18"/>
        <v>0</v>
      </c>
      <c r="T10" s="169">
        <f t="shared" si="18"/>
        <v>0</v>
      </c>
      <c r="U10" s="97">
        <f t="shared" si="2"/>
        <v>0</v>
      </c>
      <c r="V10" s="97">
        <f t="shared" si="3"/>
        <v>0</v>
      </c>
      <c r="W10" s="97">
        <f t="shared" si="4"/>
        <v>0</v>
      </c>
      <c r="X10" s="97">
        <f t="shared" si="5"/>
        <v>0</v>
      </c>
      <c r="Y10" s="209"/>
      <c r="Z10" s="210"/>
      <c r="AA10" s="210"/>
      <c r="AB10" s="128">
        <f>IF(AND(D10="Jour férié semaine",((G10-F10)+(I10-H10)+(K10-J10)=0)),VLOOKUP(D10,Systeemgegevens!$J:$K,2,FALSE),0)</f>
        <v>0</v>
      </c>
      <c r="AC10" s="43">
        <f>IF(AND(NOT(ISERROR(FIND("Congé",D10))),ISERROR(FIND("1/2",D10)),ISERROR(FIND("Synd",D10)),ISERROR(FIND("synd",D10)),(G10-F10+I10-H10+K10-J10)=0),VLOOKUP(D10,Systeemgegevens!$J:$K,2,FALSE),IF(AND(NOT(ISERROR(FIND("1/2 Congé + ",D10))),(G10-F10+I10-H10+K10-J10)=0),VLOOKUP(D10,Systeemgegevens!$J:$K,2,FALSE)/2,IF(AND(NOT(ISERROR(FIND("1/2 Congé",D10))),ISERROR(FIND(" + ",D10)),ISERROR(FIND("1/2 Congé Synd.",D10))),VLOOKUP(D10,Systeemgegevens!$J:$K,2,FALSE),0)))</f>
        <v>0</v>
      </c>
      <c r="AD10" s="43">
        <f>IF(AND(OR(D10="1/2 Congé Synd.",D10="Congé Synd."),((G10-F10)+(I10-H10)+(K10-J10)=0)),VLOOKUP(D10,Systeemgegevens!$J:$K,2,FALSE),IF(AND(D10="1/2 Congé + 1/2 synd.",((G10-F10)+(I10-H10)+(K10-J10)=0)),AC10,0))</f>
        <v>0</v>
      </c>
      <c r="AE10" s="43">
        <f>IF(AND(D10="Jour de pont",((G10-F10)+(I10-H10)+(K10-J10)=0)),VLOOKUP(D10,Systeemgegevens!$J:$K,2,FALSE),0)</f>
        <v>0</v>
      </c>
      <c r="AF10" s="43">
        <f>IF(AND(D10="Jour libre 4/5",AND((G10-F10)+(I10-H10)+(K10-J10)=0)),VLOOKUP(D10,Systeemgegevens!$J:$K,2,FALSE),0)</f>
        <v>0</v>
      </c>
      <c r="AG10" s="118">
        <f>IF(AND(D10&lt;&gt;"",SUM(AB10:AF10)=0,D10&lt;&gt;$AB$4,D10&lt;&gt;$AC$4,D10&lt;&gt;$AE$4,D10&lt;&gt;$AF$4),VLOOKUP(D10,Systeemgegevens!$J:$K,2,FALSE),0)</f>
        <v>0</v>
      </c>
      <c r="AH10" s="119">
        <f t="shared" si="6"/>
        <v>0</v>
      </c>
      <c r="AI10" s="101">
        <f t="shared" si="7"/>
        <v>0</v>
      </c>
      <c r="AJ10" s="118">
        <f t="shared" si="19"/>
        <v>0</v>
      </c>
      <c r="AK10" s="119">
        <f t="shared" si="8"/>
        <v>0</v>
      </c>
      <c r="AL10" s="101">
        <f t="shared" si="9"/>
        <v>0</v>
      </c>
      <c r="AM10" s="43">
        <f t="shared" si="20"/>
        <v>0</v>
      </c>
      <c r="AN10" s="118">
        <f t="shared" si="21"/>
        <v>0</v>
      </c>
      <c r="AO10" s="122">
        <f t="shared" si="10"/>
        <v>0</v>
      </c>
      <c r="AP10" s="107">
        <f t="shared" si="11"/>
        <v>0</v>
      </c>
      <c r="AQ10" s="107">
        <f t="shared" si="12"/>
        <v>0</v>
      </c>
      <c r="AR10" s="123">
        <f t="shared" si="13"/>
        <v>0</v>
      </c>
      <c r="AS10" s="124">
        <f t="shared" si="14"/>
        <v>0</v>
      </c>
      <c r="AT10" s="124">
        <f t="shared" si="15"/>
        <v>0</v>
      </c>
      <c r="AU10" s="124">
        <f t="shared" si="16"/>
        <v>0</v>
      </c>
      <c r="AV10" s="117" t="s">
        <v>34</v>
      </c>
      <c r="AW10" s="291">
        <f>IF(($R$41=AV10)*AND($R$42&lt;&gt;""),VLOOKUP($R$42,'Barèmes police'!$H$4:$I$30,2),0)</f>
        <v>0</v>
      </c>
      <c r="AX10" s="16" t="str">
        <f>IF('Types de jours'!F16&lt;&gt;"",'Types de jours'!F16,"")</f>
        <v>1/2 Congé</v>
      </c>
      <c r="AY10" s="144">
        <f>IF(AX10&lt;&gt;"",'Types de jours'!I16,"")</f>
        <v>0.15833333333333333</v>
      </c>
      <c r="AZ10" s="269"/>
      <c r="BA10" s="154"/>
      <c r="BB10" s="154"/>
      <c r="BC10" s="154"/>
      <c r="BD10" s="154"/>
      <c r="BE10" s="154"/>
      <c r="BF10" s="154"/>
    </row>
    <row r="11" spans="1:58" ht="12.75" customHeight="1" x14ac:dyDescent="0.2">
      <c r="A11" s="34"/>
      <c r="B11" s="24" t="str">
        <f t="shared" si="0"/>
        <v>Je</v>
      </c>
      <c r="C11" s="25">
        <f t="shared" si="22"/>
        <v>45295</v>
      </c>
      <c r="D11" s="51"/>
      <c r="E11" s="116"/>
      <c r="F11" s="52"/>
      <c r="G11" s="53"/>
      <c r="H11" s="52"/>
      <c r="I11" s="53"/>
      <c r="J11" s="54"/>
      <c r="K11" s="55"/>
      <c r="L11" s="40">
        <f t="shared" si="1"/>
        <v>0</v>
      </c>
      <c r="M11" s="41">
        <f t="shared" si="23"/>
        <v>0.31666666666666665</v>
      </c>
      <c r="N11" s="42">
        <f>IF(AND(D11&lt;&gt;"Jour libre 4/5",B11&lt;&gt;"Sa",B11&lt;&gt;"Di"),SUM(N10,Configuration!$H$41),SUM(N10))</f>
        <v>1.2666666666666666</v>
      </c>
      <c r="O11" s="49" t="str">
        <f t="shared" si="24"/>
        <v>-</v>
      </c>
      <c r="P11" s="143">
        <f t="shared" si="17"/>
        <v>0.95</v>
      </c>
      <c r="Q11" s="167">
        <f t="shared" si="18"/>
        <v>0</v>
      </c>
      <c r="R11" s="168">
        <f t="shared" si="18"/>
        <v>0</v>
      </c>
      <c r="S11" s="168">
        <f t="shared" si="18"/>
        <v>0</v>
      </c>
      <c r="T11" s="169">
        <f t="shared" si="18"/>
        <v>0</v>
      </c>
      <c r="U11" s="97">
        <f t="shared" si="2"/>
        <v>0</v>
      </c>
      <c r="V11" s="97">
        <f t="shared" si="3"/>
        <v>0</v>
      </c>
      <c r="W11" s="97">
        <f t="shared" si="4"/>
        <v>0</v>
      </c>
      <c r="X11" s="97">
        <f t="shared" si="5"/>
        <v>0</v>
      </c>
      <c r="Y11" s="209"/>
      <c r="Z11" s="210"/>
      <c r="AA11" s="210"/>
      <c r="AB11" s="128">
        <f>IF(AND(D11="Jour férié semaine",((G11-F11)+(I11-H11)+(K11-J11)=0)),VLOOKUP(D11,Systeemgegevens!$J:$K,2,FALSE),0)</f>
        <v>0</v>
      </c>
      <c r="AC11" s="43">
        <f>IF(AND(NOT(ISERROR(FIND("Congé",D11))),ISERROR(FIND("1/2",D11)),ISERROR(FIND("Synd",D11)),ISERROR(FIND("synd",D11)),(G11-F11+I11-H11+K11-J11)=0),VLOOKUP(D11,Systeemgegevens!$J:$K,2,FALSE),IF(AND(NOT(ISERROR(FIND("1/2 Congé + ",D11))),(G11-F11+I11-H11+K11-J11)=0),VLOOKUP(D11,Systeemgegevens!$J:$K,2,FALSE)/2,IF(AND(NOT(ISERROR(FIND("1/2 Congé",D11))),ISERROR(FIND(" + ",D11)),ISERROR(FIND("1/2 Congé Synd.",D11))),VLOOKUP(D11,Systeemgegevens!$J:$K,2,FALSE),0)))</f>
        <v>0</v>
      </c>
      <c r="AD11" s="43">
        <f>IF(AND(OR(D11="1/2 Congé Synd.",D11="Congé Synd."),((G11-F11)+(I11-H11)+(K11-J11)=0)),VLOOKUP(D11,Systeemgegevens!$J:$K,2,FALSE),IF(AND(D11="1/2 Congé + 1/2 synd.",((G11-F11)+(I11-H11)+(K11-J11)=0)),AC11,0))</f>
        <v>0</v>
      </c>
      <c r="AE11" s="43">
        <f>IF(AND(D11="Jour de pont",((G11-F11)+(I11-H11)+(K11-J11)=0)),VLOOKUP(D11,Systeemgegevens!$J:$K,2,FALSE),0)</f>
        <v>0</v>
      </c>
      <c r="AF11" s="43">
        <f>IF(AND(D11="Jour libre 4/5",AND((G11-F11)+(I11-H11)+(K11-J11)=0)),VLOOKUP(D11,Systeemgegevens!$J:$K,2,FALSE),0)</f>
        <v>0</v>
      </c>
      <c r="AG11" s="118">
        <f>IF(AND(D11&lt;&gt;"",SUM(AB11:AF11)=0,D11&lt;&gt;$AB$4,D11&lt;&gt;$AC$4,D11&lt;&gt;$AE$4,D11&lt;&gt;$AF$4),VLOOKUP(D11,Systeemgegevens!$J:$K,2,FALSE),0)</f>
        <v>0</v>
      </c>
      <c r="AH11" s="119">
        <f t="shared" si="6"/>
        <v>0</v>
      </c>
      <c r="AI11" s="101">
        <f t="shared" si="7"/>
        <v>0</v>
      </c>
      <c r="AJ11" s="118">
        <f t="shared" si="19"/>
        <v>0</v>
      </c>
      <c r="AK11" s="119">
        <f t="shared" si="8"/>
        <v>0</v>
      </c>
      <c r="AL11" s="101">
        <f t="shared" si="9"/>
        <v>0</v>
      </c>
      <c r="AM11" s="43">
        <f t="shared" si="20"/>
        <v>0</v>
      </c>
      <c r="AN11" s="118">
        <f t="shared" si="21"/>
        <v>0</v>
      </c>
      <c r="AO11" s="122">
        <f t="shared" si="10"/>
        <v>0</v>
      </c>
      <c r="AP11" s="107">
        <f t="shared" si="11"/>
        <v>0</v>
      </c>
      <c r="AQ11" s="107">
        <f t="shared" si="12"/>
        <v>0</v>
      </c>
      <c r="AR11" s="123">
        <f t="shared" si="13"/>
        <v>0</v>
      </c>
      <c r="AS11" s="124">
        <f t="shared" si="14"/>
        <v>0</v>
      </c>
      <c r="AT11" s="124">
        <f t="shared" si="15"/>
        <v>0</v>
      </c>
      <c r="AU11" s="124">
        <f t="shared" si="16"/>
        <v>0</v>
      </c>
      <c r="AV11" s="117" t="s">
        <v>268</v>
      </c>
      <c r="AW11" s="291">
        <f>IF(($R$41=AV11)*AND($R$42&lt;&gt;""),VLOOKUP($R$42,'Barèmes police'!$K$4:$L$30,2),0)</f>
        <v>0</v>
      </c>
      <c r="AX11" s="16" t="str">
        <f>IF('Types de jours'!F17&lt;&gt;"",'Types de jours'!F17,"")</f>
        <v>Malade</v>
      </c>
      <c r="AY11" s="144">
        <f>IF(AX11&lt;&gt;"",'Types de jours'!I17,"")</f>
        <v>0.31666666666666665</v>
      </c>
      <c r="AZ11" s="269"/>
      <c r="BA11" s="154"/>
      <c r="BB11" s="154"/>
      <c r="BC11" s="154"/>
      <c r="BD11" s="154"/>
      <c r="BE11" s="154"/>
      <c r="BF11" s="154"/>
    </row>
    <row r="12" spans="1:58" ht="12.75" customHeight="1" x14ac:dyDescent="0.2">
      <c r="A12" s="34"/>
      <c r="B12" s="24" t="str">
        <f t="shared" si="0"/>
        <v>Ve</v>
      </c>
      <c r="C12" s="25">
        <f t="shared" si="22"/>
        <v>45296</v>
      </c>
      <c r="D12" s="51"/>
      <c r="E12" s="116"/>
      <c r="F12" s="52"/>
      <c r="G12" s="53"/>
      <c r="H12" s="52"/>
      <c r="I12" s="53"/>
      <c r="J12" s="54"/>
      <c r="K12" s="55"/>
      <c r="L12" s="40">
        <f t="shared" si="1"/>
        <v>0</v>
      </c>
      <c r="M12" s="41">
        <f t="shared" si="23"/>
        <v>0.31666666666666665</v>
      </c>
      <c r="N12" s="42">
        <f>IF(AND(D12&lt;&gt;"Jour libre 4/5",B12&lt;&gt;"Sa",B12&lt;&gt;"Di"),SUM(N11,Configuration!$H$41),SUM(N11))</f>
        <v>1.5833333333333333</v>
      </c>
      <c r="O12" s="49" t="str">
        <f t="shared" si="24"/>
        <v>-</v>
      </c>
      <c r="P12" s="143">
        <f t="shared" si="17"/>
        <v>1.2666666666666666</v>
      </c>
      <c r="Q12" s="167">
        <f t="shared" si="18"/>
        <v>0</v>
      </c>
      <c r="R12" s="168">
        <f t="shared" si="18"/>
        <v>0</v>
      </c>
      <c r="S12" s="168">
        <f t="shared" si="18"/>
        <v>0</v>
      </c>
      <c r="T12" s="169">
        <f t="shared" si="18"/>
        <v>0</v>
      </c>
      <c r="U12" s="97">
        <f t="shared" si="2"/>
        <v>0</v>
      </c>
      <c r="V12" s="97">
        <f t="shared" si="3"/>
        <v>0</v>
      </c>
      <c r="W12" s="97">
        <f t="shared" si="4"/>
        <v>0</v>
      </c>
      <c r="X12" s="97">
        <f t="shared" si="5"/>
        <v>0</v>
      </c>
      <c r="Y12" s="209"/>
      <c r="Z12" s="210"/>
      <c r="AA12" s="210"/>
      <c r="AB12" s="128">
        <f>IF(AND(D12="Jour férié semaine",((G12-F12)+(I12-H12)+(K12-J12)=0)),VLOOKUP(D12,Systeemgegevens!$J:$K,2,FALSE),0)</f>
        <v>0</v>
      </c>
      <c r="AC12" s="43">
        <f>IF(AND(NOT(ISERROR(FIND("Congé",D12))),ISERROR(FIND("1/2",D12)),ISERROR(FIND("Synd",D12)),ISERROR(FIND("synd",D12)),(G12-F12+I12-H12+K12-J12)=0),VLOOKUP(D12,Systeemgegevens!$J:$K,2,FALSE),IF(AND(NOT(ISERROR(FIND("1/2 Congé + ",D12))),(G12-F12+I12-H12+K12-J12)=0),VLOOKUP(D12,Systeemgegevens!$J:$K,2,FALSE)/2,IF(AND(NOT(ISERROR(FIND("1/2 Congé",D12))),ISERROR(FIND(" + ",D12)),ISERROR(FIND("1/2 Congé Synd.",D12))),VLOOKUP(D12,Systeemgegevens!$J:$K,2,FALSE),0)))</f>
        <v>0</v>
      </c>
      <c r="AD12" s="43">
        <f>IF(AND(OR(D12="1/2 Congé Synd.",D12="Congé Synd."),((G12-F12)+(I12-H12)+(K12-J12)=0)),VLOOKUP(D12,Systeemgegevens!$J:$K,2,FALSE),IF(AND(D12="1/2 Congé + 1/2 synd.",((G12-F12)+(I12-H12)+(K12-J12)=0)),AC12,0))</f>
        <v>0</v>
      </c>
      <c r="AE12" s="43">
        <f>IF(AND(D12="Jour de pont",((G12-F12)+(I12-H12)+(K12-J12)=0)),VLOOKUP(D12,Systeemgegevens!$J:$K,2,FALSE),0)</f>
        <v>0</v>
      </c>
      <c r="AF12" s="43">
        <f>IF(AND(D12="Jour libre 4/5",AND((G12-F12)+(I12-H12)+(K12-J12)=0)),VLOOKUP(D12,Systeemgegevens!$J:$K,2,FALSE),0)</f>
        <v>0</v>
      </c>
      <c r="AG12" s="118">
        <f>IF(AND(D12&lt;&gt;"",SUM(AB12:AF12)=0,D12&lt;&gt;$AB$4,D12&lt;&gt;$AC$4,D12&lt;&gt;$AE$4,D12&lt;&gt;$AF$4),VLOOKUP(D12,Systeemgegevens!$J:$K,2,FALSE),0)</f>
        <v>0</v>
      </c>
      <c r="AH12" s="119">
        <f t="shared" si="6"/>
        <v>0</v>
      </c>
      <c r="AI12" s="101">
        <f t="shared" si="7"/>
        <v>0</v>
      </c>
      <c r="AJ12" s="118">
        <f t="shared" si="19"/>
        <v>0</v>
      </c>
      <c r="AK12" s="119">
        <f t="shared" si="8"/>
        <v>0</v>
      </c>
      <c r="AL12" s="101">
        <f t="shared" si="9"/>
        <v>0</v>
      </c>
      <c r="AM12" s="43">
        <f t="shared" si="20"/>
        <v>0</v>
      </c>
      <c r="AN12" s="118">
        <f t="shared" si="21"/>
        <v>0</v>
      </c>
      <c r="AO12" s="122">
        <f t="shared" si="10"/>
        <v>0</v>
      </c>
      <c r="AP12" s="107">
        <f t="shared" si="11"/>
        <v>0</v>
      </c>
      <c r="AQ12" s="107">
        <f t="shared" si="12"/>
        <v>0</v>
      </c>
      <c r="AR12" s="123">
        <f t="shared" si="13"/>
        <v>0</v>
      </c>
      <c r="AS12" s="124">
        <f t="shared" si="14"/>
        <v>0</v>
      </c>
      <c r="AT12" s="124">
        <f t="shared" si="15"/>
        <v>0</v>
      </c>
      <c r="AU12" s="124">
        <f t="shared" si="16"/>
        <v>0</v>
      </c>
      <c r="AV12" s="117" t="s">
        <v>33</v>
      </c>
      <c r="AW12" s="291">
        <f>IF(($R$41=AV12)*AND($R$42&lt;&gt;""),VLOOKUP($R$42,'Barèmes police'!$N$4:$O$30,2),0)</f>
        <v>0</v>
      </c>
      <c r="AX12" s="16" t="str">
        <f>IF('Types de jours'!F18&lt;&gt;"",'Types de jours'!F18,"")</f>
        <v>Acc. de travail</v>
      </c>
      <c r="AY12" s="144">
        <f>IF(AX12&lt;&gt;"",'Types de jours'!I18,"")</f>
        <v>0.31666666666666665</v>
      </c>
      <c r="AZ12" s="269"/>
      <c r="BA12" s="154"/>
      <c r="BB12" s="154"/>
      <c r="BC12" s="154"/>
      <c r="BD12" s="154"/>
      <c r="BE12" s="154"/>
      <c r="BF12" s="154"/>
    </row>
    <row r="13" spans="1:58" ht="12.75" customHeight="1" x14ac:dyDescent="0.2">
      <c r="A13" s="34"/>
      <c r="B13" s="24" t="str">
        <f t="shared" si="0"/>
        <v>Sa</v>
      </c>
      <c r="C13" s="25">
        <f t="shared" si="22"/>
        <v>45297</v>
      </c>
      <c r="D13" s="51"/>
      <c r="E13" s="116"/>
      <c r="F13" s="52"/>
      <c r="G13" s="53"/>
      <c r="H13" s="52"/>
      <c r="I13" s="53"/>
      <c r="J13" s="54"/>
      <c r="K13" s="55"/>
      <c r="L13" s="40">
        <f t="shared" si="1"/>
        <v>0</v>
      </c>
      <c r="M13" s="41">
        <f t="shared" si="23"/>
        <v>0.31666666666666665</v>
      </c>
      <c r="N13" s="42">
        <f>IF(AND(D13&lt;&gt;"Jour libre 4/5",B13&lt;&gt;"Sa",B13&lt;&gt;"Di"),SUM(N12,Configuration!$H$41),SUM(N12))</f>
        <v>1.5833333333333333</v>
      </c>
      <c r="O13" s="49" t="str">
        <f t="shared" si="24"/>
        <v>-</v>
      </c>
      <c r="P13" s="143">
        <f t="shared" si="17"/>
        <v>1.2666666666666666</v>
      </c>
      <c r="Q13" s="167">
        <f t="shared" si="18"/>
        <v>0</v>
      </c>
      <c r="R13" s="168">
        <f t="shared" si="18"/>
        <v>0</v>
      </c>
      <c r="S13" s="168">
        <f t="shared" si="18"/>
        <v>0</v>
      </c>
      <c r="T13" s="169">
        <f t="shared" si="18"/>
        <v>0</v>
      </c>
      <c r="U13" s="97">
        <f t="shared" si="2"/>
        <v>0</v>
      </c>
      <c r="V13" s="97">
        <f t="shared" si="3"/>
        <v>0</v>
      </c>
      <c r="W13" s="97">
        <f t="shared" si="4"/>
        <v>0</v>
      </c>
      <c r="X13" s="97">
        <f t="shared" si="5"/>
        <v>0</v>
      </c>
      <c r="Y13" s="209"/>
      <c r="Z13" s="210"/>
      <c r="AA13" s="210"/>
      <c r="AB13" s="128">
        <f>IF(AND(D13="Jour férié semaine",((G13-F13)+(I13-H13)+(K13-J13)=0)),VLOOKUP(D13,Systeemgegevens!$J:$K,2,FALSE),0)</f>
        <v>0</v>
      </c>
      <c r="AC13" s="43">
        <f>IF(AND(NOT(ISERROR(FIND("Congé",D13))),ISERROR(FIND("1/2",D13)),ISERROR(FIND("Synd",D13)),ISERROR(FIND("synd",D13)),(G13-F13+I13-H13+K13-J13)=0),VLOOKUP(D13,Systeemgegevens!$J:$K,2,FALSE),IF(AND(NOT(ISERROR(FIND("1/2 Congé + ",D13))),(G13-F13+I13-H13+K13-J13)=0),VLOOKUP(D13,Systeemgegevens!$J:$K,2,FALSE)/2,IF(AND(NOT(ISERROR(FIND("1/2 Congé",D13))),ISERROR(FIND(" + ",D13)),ISERROR(FIND("1/2 Congé Synd.",D13))),VLOOKUP(D13,Systeemgegevens!$J:$K,2,FALSE),0)))</f>
        <v>0</v>
      </c>
      <c r="AD13" s="43">
        <f>IF(AND(OR(D13="1/2 Congé Synd.",D13="Congé Synd."),((G13-F13)+(I13-H13)+(K13-J13)=0)),VLOOKUP(D13,Systeemgegevens!$J:$K,2,FALSE),IF(AND(D13="1/2 Congé + 1/2 synd.",((G13-F13)+(I13-H13)+(K13-J13)=0)),AC13,0))</f>
        <v>0</v>
      </c>
      <c r="AE13" s="43">
        <f>IF(AND(D13="Jour de pont",((G13-F13)+(I13-H13)+(K13-J13)=0)),VLOOKUP(D13,Systeemgegevens!$J:$K,2,FALSE),0)</f>
        <v>0</v>
      </c>
      <c r="AF13" s="43">
        <f>IF(AND(D13="Jour libre 4/5",AND((G13-F13)+(I13-H13)+(K13-J13)=0)),VLOOKUP(D13,Systeemgegevens!$J:$K,2,FALSE),0)</f>
        <v>0</v>
      </c>
      <c r="AG13" s="118">
        <f>IF(AND(D13&lt;&gt;"",SUM(AB13:AF13)=0,D13&lt;&gt;$AB$4,D13&lt;&gt;$AC$4,D13&lt;&gt;$AE$4,D13&lt;&gt;$AF$4),VLOOKUP(D13,Systeemgegevens!$J:$K,2,FALSE),0)</f>
        <v>0</v>
      </c>
      <c r="AH13" s="119">
        <f t="shared" si="6"/>
        <v>0</v>
      </c>
      <c r="AI13" s="101">
        <f t="shared" si="7"/>
        <v>0</v>
      </c>
      <c r="AJ13" s="118">
        <f t="shared" si="19"/>
        <v>0</v>
      </c>
      <c r="AK13" s="119">
        <f t="shared" si="8"/>
        <v>0</v>
      </c>
      <c r="AL13" s="101">
        <f t="shared" si="9"/>
        <v>0</v>
      </c>
      <c r="AM13" s="43">
        <f t="shared" si="20"/>
        <v>0</v>
      </c>
      <c r="AN13" s="118">
        <f t="shared" si="21"/>
        <v>0</v>
      </c>
      <c r="AO13" s="122">
        <f t="shared" si="10"/>
        <v>0</v>
      </c>
      <c r="AP13" s="107">
        <f t="shared" si="11"/>
        <v>0</v>
      </c>
      <c r="AQ13" s="107">
        <f t="shared" si="12"/>
        <v>0</v>
      </c>
      <c r="AR13" s="123">
        <f t="shared" si="13"/>
        <v>0</v>
      </c>
      <c r="AS13" s="124">
        <f t="shared" si="14"/>
        <v>0</v>
      </c>
      <c r="AT13" s="124">
        <f t="shared" si="15"/>
        <v>0</v>
      </c>
      <c r="AU13" s="124">
        <f t="shared" si="16"/>
        <v>0</v>
      </c>
      <c r="AV13" s="117" t="s">
        <v>32</v>
      </c>
      <c r="AW13" s="291">
        <f>IF(($R$41=AV13)*AND($R$42&lt;&gt;""),VLOOKUP($R$42,'Barèmes police'!$Q$4:$R$30,2),0)</f>
        <v>0</v>
      </c>
      <c r="AX13" s="16" t="str">
        <f>IF('Types de jours'!F19&lt;&gt;"",'Types de jours'!F19,"")</f>
        <v>Congé Synd.</v>
      </c>
      <c r="AY13" s="144">
        <f>IF(AX13&lt;&gt;"",'Types de jours'!I19,"")</f>
        <v>0.31666666666666665</v>
      </c>
      <c r="AZ13" s="269"/>
      <c r="BA13" s="154"/>
      <c r="BB13" s="154"/>
      <c r="BC13" s="154"/>
      <c r="BD13" s="154"/>
      <c r="BE13" s="154"/>
      <c r="BF13" s="154"/>
    </row>
    <row r="14" spans="1:58" ht="12.75" customHeight="1" x14ac:dyDescent="0.2">
      <c r="A14" s="34"/>
      <c r="B14" s="24" t="str">
        <f t="shared" si="0"/>
        <v>Di</v>
      </c>
      <c r="C14" s="25">
        <f t="shared" si="22"/>
        <v>45298</v>
      </c>
      <c r="D14" s="51"/>
      <c r="E14" s="116"/>
      <c r="F14" s="52"/>
      <c r="G14" s="53"/>
      <c r="H14" s="52"/>
      <c r="I14" s="53"/>
      <c r="J14" s="54"/>
      <c r="K14" s="55"/>
      <c r="L14" s="40">
        <f t="shared" si="1"/>
        <v>0</v>
      </c>
      <c r="M14" s="41">
        <f t="shared" si="23"/>
        <v>0.31666666666666665</v>
      </c>
      <c r="N14" s="42">
        <f>IF(AND(D14&lt;&gt;"Jour libre 4/5",B14&lt;&gt;"Sa",B14&lt;&gt;"Di"),SUM(N13,Configuration!$H$41),SUM(N13))</f>
        <v>1.5833333333333333</v>
      </c>
      <c r="O14" s="49" t="str">
        <f t="shared" si="24"/>
        <v>-</v>
      </c>
      <c r="P14" s="143">
        <f t="shared" si="17"/>
        <v>1.2666666666666666</v>
      </c>
      <c r="Q14" s="167">
        <f t="shared" si="18"/>
        <v>0</v>
      </c>
      <c r="R14" s="168">
        <f t="shared" si="18"/>
        <v>0</v>
      </c>
      <c r="S14" s="168">
        <f t="shared" si="18"/>
        <v>0</v>
      </c>
      <c r="T14" s="169">
        <f t="shared" si="18"/>
        <v>0</v>
      </c>
      <c r="U14" s="97">
        <f t="shared" si="2"/>
        <v>0</v>
      </c>
      <c r="V14" s="97">
        <f t="shared" si="3"/>
        <v>0</v>
      </c>
      <c r="W14" s="97">
        <f t="shared" si="4"/>
        <v>0</v>
      </c>
      <c r="X14" s="97">
        <f t="shared" si="5"/>
        <v>0</v>
      </c>
      <c r="Y14" s="209"/>
      <c r="Z14" s="210"/>
      <c r="AA14" s="210"/>
      <c r="AB14" s="128">
        <f>IF(AND(D14="Jour férié semaine",((G14-F14)+(I14-H14)+(K14-J14)=0)),VLOOKUP(D14,Systeemgegevens!$J:$K,2,FALSE),0)</f>
        <v>0</v>
      </c>
      <c r="AC14" s="43">
        <f>IF(AND(NOT(ISERROR(FIND("Congé",D14))),ISERROR(FIND("1/2",D14)),ISERROR(FIND("Synd",D14)),ISERROR(FIND("synd",D14)),(G14-F14+I14-H14+K14-J14)=0),VLOOKUP(D14,Systeemgegevens!$J:$K,2,FALSE),IF(AND(NOT(ISERROR(FIND("1/2 Congé + ",D14))),(G14-F14+I14-H14+K14-J14)=0),VLOOKUP(D14,Systeemgegevens!$J:$K,2,FALSE)/2,IF(AND(NOT(ISERROR(FIND("1/2 Congé",D14))),ISERROR(FIND(" + ",D14)),ISERROR(FIND("1/2 Congé Synd.",D14))),VLOOKUP(D14,Systeemgegevens!$J:$K,2,FALSE),0)))</f>
        <v>0</v>
      </c>
      <c r="AD14" s="43">
        <f>IF(AND(OR(D14="1/2 Congé Synd.",D14="Congé Synd."),((G14-F14)+(I14-H14)+(K14-J14)=0)),VLOOKUP(D14,Systeemgegevens!$J:$K,2,FALSE),IF(AND(D14="1/2 Congé + 1/2 synd.",((G14-F14)+(I14-H14)+(K14-J14)=0)),AC14,0))</f>
        <v>0</v>
      </c>
      <c r="AE14" s="43">
        <f>IF(AND(D14="Jour de pont",((G14-F14)+(I14-H14)+(K14-J14)=0)),VLOOKUP(D14,Systeemgegevens!$J:$K,2,FALSE),0)</f>
        <v>0</v>
      </c>
      <c r="AF14" s="43">
        <f>IF(AND(D14="Jour libre 4/5",AND((G14-F14)+(I14-H14)+(K14-J14)=0)),VLOOKUP(D14,Systeemgegevens!$J:$K,2,FALSE),0)</f>
        <v>0</v>
      </c>
      <c r="AG14" s="118">
        <f>IF(AND(D14&lt;&gt;"",SUM(AB14:AF14)=0,D14&lt;&gt;$AB$4,D14&lt;&gt;$AC$4,D14&lt;&gt;$AE$4,D14&lt;&gt;$AF$4),VLOOKUP(D14,Systeemgegevens!$J:$K,2,FALSE),0)</f>
        <v>0</v>
      </c>
      <c r="AH14" s="119">
        <f t="shared" si="6"/>
        <v>0</v>
      </c>
      <c r="AI14" s="101">
        <f t="shared" si="7"/>
        <v>0</v>
      </c>
      <c r="AJ14" s="118">
        <f t="shared" si="19"/>
        <v>0</v>
      </c>
      <c r="AK14" s="119">
        <f t="shared" si="8"/>
        <v>0</v>
      </c>
      <c r="AL14" s="101">
        <f t="shared" si="9"/>
        <v>0</v>
      </c>
      <c r="AM14" s="43">
        <f t="shared" si="20"/>
        <v>0</v>
      </c>
      <c r="AN14" s="118">
        <f t="shared" si="21"/>
        <v>0</v>
      </c>
      <c r="AO14" s="122">
        <f t="shared" si="10"/>
        <v>0</v>
      </c>
      <c r="AP14" s="107">
        <f t="shared" si="11"/>
        <v>0</v>
      </c>
      <c r="AQ14" s="107">
        <f t="shared" si="12"/>
        <v>0</v>
      </c>
      <c r="AR14" s="123">
        <f t="shared" si="13"/>
        <v>0</v>
      </c>
      <c r="AS14" s="124">
        <f t="shared" si="14"/>
        <v>0</v>
      </c>
      <c r="AT14" s="124">
        <f t="shared" si="15"/>
        <v>0</v>
      </c>
      <c r="AU14" s="124">
        <f t="shared" si="16"/>
        <v>0</v>
      </c>
      <c r="AV14" s="117" t="s">
        <v>31</v>
      </c>
      <c r="AW14" s="291">
        <f>IF(($R$41=AV14)*AND($R$42&lt;&gt;""),VLOOKUP($R$42,'Barèmes police'!$T$4:$U$30,2),0)</f>
        <v>0</v>
      </c>
      <c r="AX14" s="16" t="str">
        <f>IF('Types de jours'!F20&lt;&gt;"",'Types de jours'!F20,"")</f>
        <v>1/2 Congé Synd.</v>
      </c>
      <c r="AY14" s="144">
        <f>IF(AX14&lt;&gt;"",'Types de jours'!I20,"")</f>
        <v>0.15833333333333333</v>
      </c>
      <c r="AZ14" s="269"/>
      <c r="BA14" s="154"/>
      <c r="BB14" s="154"/>
      <c r="BC14" s="154"/>
      <c r="BD14" s="154"/>
      <c r="BE14" s="154"/>
      <c r="BF14" s="154"/>
    </row>
    <row r="15" spans="1:58" ht="12.75" customHeight="1" x14ac:dyDescent="0.2">
      <c r="A15" s="34"/>
      <c r="B15" s="24" t="str">
        <f t="shared" si="0"/>
        <v>Lu</v>
      </c>
      <c r="C15" s="25">
        <f t="shared" si="22"/>
        <v>45299</v>
      </c>
      <c r="D15" s="51"/>
      <c r="E15" s="116"/>
      <c r="F15" s="52"/>
      <c r="G15" s="53"/>
      <c r="H15" s="52"/>
      <c r="I15" s="53"/>
      <c r="J15" s="54"/>
      <c r="K15" s="55"/>
      <c r="L15" s="40">
        <f t="shared" si="1"/>
        <v>0</v>
      </c>
      <c r="M15" s="41">
        <f t="shared" si="23"/>
        <v>0.31666666666666665</v>
      </c>
      <c r="N15" s="42">
        <f>IF(AND(D15&lt;&gt;"Jour libre 4/5",B15&lt;&gt;"Sa",B15&lt;&gt;"Di"),SUM(N14,Configuration!$H$41),SUM(N14))</f>
        <v>1.9</v>
      </c>
      <c r="O15" s="49" t="str">
        <f t="shared" si="24"/>
        <v>-</v>
      </c>
      <c r="P15" s="143">
        <f t="shared" si="17"/>
        <v>1.5833333333333333</v>
      </c>
      <c r="Q15" s="167">
        <f t="shared" si="18"/>
        <v>0</v>
      </c>
      <c r="R15" s="168">
        <f t="shared" si="18"/>
        <v>0</v>
      </c>
      <c r="S15" s="168">
        <f t="shared" si="18"/>
        <v>0</v>
      </c>
      <c r="T15" s="169">
        <f t="shared" si="18"/>
        <v>0</v>
      </c>
      <c r="U15" s="97">
        <f t="shared" si="2"/>
        <v>0</v>
      </c>
      <c r="V15" s="97">
        <f t="shared" si="3"/>
        <v>0</v>
      </c>
      <c r="W15" s="97">
        <f t="shared" si="4"/>
        <v>0</v>
      </c>
      <c r="X15" s="97">
        <f t="shared" si="5"/>
        <v>0</v>
      </c>
      <c r="Y15" s="209"/>
      <c r="Z15" s="210"/>
      <c r="AA15" s="210"/>
      <c r="AB15" s="128">
        <f>IF(AND(D15="Jour férié semaine",((G15-F15)+(I15-H15)+(K15-J15)=0)),VLOOKUP(D15,Systeemgegevens!$J:$K,2,FALSE),0)</f>
        <v>0</v>
      </c>
      <c r="AC15" s="43">
        <f>IF(AND(NOT(ISERROR(FIND("Congé",D15))),ISERROR(FIND("1/2",D15)),ISERROR(FIND("Synd",D15)),ISERROR(FIND("synd",D15)),(G15-F15+I15-H15+K15-J15)=0),VLOOKUP(D15,Systeemgegevens!$J:$K,2,FALSE),IF(AND(NOT(ISERROR(FIND("1/2 Congé + ",D15))),(G15-F15+I15-H15+K15-J15)=0),VLOOKUP(D15,Systeemgegevens!$J:$K,2,FALSE)/2,IF(AND(NOT(ISERROR(FIND("1/2 Congé",D15))),ISERROR(FIND(" + ",D15)),ISERROR(FIND("1/2 Congé Synd.",D15))),VLOOKUP(D15,Systeemgegevens!$J:$K,2,FALSE),0)))</f>
        <v>0</v>
      </c>
      <c r="AD15" s="43">
        <f>IF(AND(OR(D15="1/2 Congé Synd.",D15="Congé Synd."),((G15-F15)+(I15-H15)+(K15-J15)=0)),VLOOKUP(D15,Systeemgegevens!$J:$K,2,FALSE),IF(AND(D15="1/2 Congé + 1/2 synd.",((G15-F15)+(I15-H15)+(K15-J15)=0)),AC15,0))</f>
        <v>0</v>
      </c>
      <c r="AE15" s="43">
        <f>IF(AND(D15="Jour de pont",((G15-F15)+(I15-H15)+(K15-J15)=0)),VLOOKUP(D15,Systeemgegevens!$J:$K,2,FALSE),0)</f>
        <v>0</v>
      </c>
      <c r="AF15" s="43">
        <f>IF(AND(D15="Jour libre 4/5",AND((G15-F15)+(I15-H15)+(K15-J15)=0)),VLOOKUP(D15,Systeemgegevens!$J:$K,2,FALSE),0)</f>
        <v>0</v>
      </c>
      <c r="AG15" s="118">
        <f>IF(AND(D15&lt;&gt;"",SUM(AB15:AF15)=0,D15&lt;&gt;$AB$4,D15&lt;&gt;$AC$4,D15&lt;&gt;$AE$4,D15&lt;&gt;$AF$4),VLOOKUP(D15,Systeemgegevens!$J:$K,2,FALSE),0)</f>
        <v>0</v>
      </c>
      <c r="AH15" s="119">
        <f t="shared" si="6"/>
        <v>0</v>
      </c>
      <c r="AI15" s="101">
        <f t="shared" si="7"/>
        <v>0</v>
      </c>
      <c r="AJ15" s="118">
        <f t="shared" si="19"/>
        <v>0</v>
      </c>
      <c r="AK15" s="119">
        <f t="shared" si="8"/>
        <v>0</v>
      </c>
      <c r="AL15" s="101">
        <f t="shared" si="9"/>
        <v>0</v>
      </c>
      <c r="AM15" s="43">
        <f t="shared" si="20"/>
        <v>0</v>
      </c>
      <c r="AN15" s="118">
        <f t="shared" si="21"/>
        <v>0</v>
      </c>
      <c r="AO15" s="122">
        <f t="shared" si="10"/>
        <v>0</v>
      </c>
      <c r="AP15" s="107">
        <f t="shared" si="11"/>
        <v>0</v>
      </c>
      <c r="AQ15" s="107">
        <f t="shared" si="12"/>
        <v>0</v>
      </c>
      <c r="AR15" s="123">
        <f t="shared" si="13"/>
        <v>0</v>
      </c>
      <c r="AS15" s="124">
        <f t="shared" si="14"/>
        <v>0</v>
      </c>
      <c r="AT15" s="124">
        <f t="shared" si="15"/>
        <v>0</v>
      </c>
      <c r="AU15" s="124">
        <f t="shared" si="16"/>
        <v>0</v>
      </c>
      <c r="AV15" s="117" t="s">
        <v>30</v>
      </c>
      <c r="AW15" s="291">
        <f>IF(($R$41=AV15)*AND($R$42&lt;&gt;""),VLOOKUP($R$42,'Barèmes police'!$W$4:$X$30,2),0)</f>
        <v>0</v>
      </c>
      <c r="AX15" s="16" t="str">
        <f>IF('Types de jours'!F21&lt;&gt;"",'Types de jours'!F21,"")</f>
        <v>1/2 Congé + 1/2 synd.</v>
      </c>
      <c r="AY15" s="144">
        <f>IF(AX15&lt;&gt;"",'Types de jours'!I21,"")</f>
        <v>0.31666666666666665</v>
      </c>
      <c r="AZ15" s="269"/>
      <c r="BA15" s="154"/>
      <c r="BB15" s="154"/>
      <c r="BC15" s="154"/>
      <c r="BD15" s="154"/>
      <c r="BE15" s="154"/>
      <c r="BF15" s="154"/>
    </row>
    <row r="16" spans="1:58" ht="12.75" customHeight="1" x14ac:dyDescent="0.2">
      <c r="A16" s="34"/>
      <c r="B16" s="24" t="str">
        <f t="shared" si="0"/>
        <v>Ma</v>
      </c>
      <c r="C16" s="25">
        <f t="shared" si="22"/>
        <v>45300</v>
      </c>
      <c r="D16" s="51"/>
      <c r="E16" s="116"/>
      <c r="F16" s="52"/>
      <c r="G16" s="53"/>
      <c r="H16" s="52"/>
      <c r="I16" s="53"/>
      <c r="J16" s="54"/>
      <c r="K16" s="55"/>
      <c r="L16" s="40">
        <f t="shared" si="1"/>
        <v>0</v>
      </c>
      <c r="M16" s="41">
        <f t="shared" si="23"/>
        <v>0.31666666666666665</v>
      </c>
      <c r="N16" s="42">
        <f>IF(AND(D16&lt;&gt;"Jour libre 4/5",B16&lt;&gt;"Sa",B16&lt;&gt;"Di"),SUM(N15,Configuration!$H$41),SUM(N15))</f>
        <v>2.2166666666666668</v>
      </c>
      <c r="O16" s="49" t="str">
        <f t="shared" si="24"/>
        <v>-</v>
      </c>
      <c r="P16" s="143">
        <f t="shared" si="17"/>
        <v>1.9000000000000001</v>
      </c>
      <c r="Q16" s="167">
        <f t="shared" si="18"/>
        <v>0</v>
      </c>
      <c r="R16" s="168">
        <f t="shared" si="18"/>
        <v>0</v>
      </c>
      <c r="S16" s="168">
        <f t="shared" si="18"/>
        <v>0</v>
      </c>
      <c r="T16" s="169">
        <f t="shared" si="18"/>
        <v>0</v>
      </c>
      <c r="U16" s="97">
        <f t="shared" si="2"/>
        <v>0</v>
      </c>
      <c r="V16" s="97">
        <f t="shared" si="3"/>
        <v>0</v>
      </c>
      <c r="W16" s="97">
        <f t="shared" si="4"/>
        <v>0</v>
      </c>
      <c r="X16" s="97">
        <f t="shared" si="5"/>
        <v>0</v>
      </c>
      <c r="Y16" s="209"/>
      <c r="Z16" s="210"/>
      <c r="AA16" s="210"/>
      <c r="AB16" s="128">
        <f>IF(AND(D16="Jour férié semaine",((G16-F16)+(I16-H16)+(K16-J16)=0)),VLOOKUP(D16,Systeemgegevens!$J:$K,2,FALSE),0)</f>
        <v>0</v>
      </c>
      <c r="AC16" s="43">
        <f>IF(AND(NOT(ISERROR(FIND("Congé",D16))),ISERROR(FIND("1/2",D16)),ISERROR(FIND("Synd",D16)),ISERROR(FIND("synd",D16)),(G16-F16+I16-H16+K16-J16)=0),VLOOKUP(D16,Systeemgegevens!$J:$K,2,FALSE),IF(AND(NOT(ISERROR(FIND("1/2 Congé + ",D16))),(G16-F16+I16-H16+K16-J16)=0),VLOOKUP(D16,Systeemgegevens!$J:$K,2,FALSE)/2,IF(AND(NOT(ISERROR(FIND("1/2 Congé",D16))),ISERROR(FIND(" + ",D16)),ISERROR(FIND("1/2 Congé Synd.",D16))),VLOOKUP(D16,Systeemgegevens!$J:$K,2,FALSE),0)))</f>
        <v>0</v>
      </c>
      <c r="AD16" s="43">
        <f>IF(AND(OR(D16="1/2 Congé Synd.",D16="Congé Synd."),((G16-F16)+(I16-H16)+(K16-J16)=0)),VLOOKUP(D16,Systeemgegevens!$J:$K,2,FALSE),IF(AND(D16="1/2 Congé + 1/2 synd.",((G16-F16)+(I16-H16)+(K16-J16)=0)),AC16,0))</f>
        <v>0</v>
      </c>
      <c r="AE16" s="43">
        <f>IF(AND(D16="Jour de pont",((G16-F16)+(I16-H16)+(K16-J16)=0)),VLOOKUP(D16,Systeemgegevens!$J:$K,2,FALSE),0)</f>
        <v>0</v>
      </c>
      <c r="AF16" s="43">
        <f>IF(AND(D16="Jour libre 4/5",AND((G16-F16)+(I16-H16)+(K16-J16)=0)),VLOOKUP(D16,Systeemgegevens!$J:$K,2,FALSE),0)</f>
        <v>0</v>
      </c>
      <c r="AG16" s="118">
        <f>IF(AND(D16&lt;&gt;"",SUM(AB16:AF16)=0,D16&lt;&gt;$AB$4,D16&lt;&gt;$AC$4,D16&lt;&gt;$AE$4,D16&lt;&gt;$AF$4),VLOOKUP(D16,Systeemgegevens!$J:$K,2,FALSE),0)</f>
        <v>0</v>
      </c>
      <c r="AH16" s="119">
        <f t="shared" si="6"/>
        <v>0</v>
      </c>
      <c r="AI16" s="101">
        <f t="shared" si="7"/>
        <v>0</v>
      </c>
      <c r="AJ16" s="118">
        <f t="shared" si="19"/>
        <v>0</v>
      </c>
      <c r="AK16" s="119">
        <f t="shared" si="8"/>
        <v>0</v>
      </c>
      <c r="AL16" s="101">
        <f t="shared" si="9"/>
        <v>0</v>
      </c>
      <c r="AM16" s="43">
        <f t="shared" si="20"/>
        <v>0</v>
      </c>
      <c r="AN16" s="118">
        <f t="shared" si="21"/>
        <v>0</v>
      </c>
      <c r="AO16" s="122">
        <f t="shared" si="10"/>
        <v>0</v>
      </c>
      <c r="AP16" s="107">
        <f t="shared" si="11"/>
        <v>0</v>
      </c>
      <c r="AQ16" s="107">
        <f t="shared" si="12"/>
        <v>0</v>
      </c>
      <c r="AR16" s="123">
        <f t="shared" si="13"/>
        <v>0</v>
      </c>
      <c r="AS16" s="124">
        <f t="shared" si="14"/>
        <v>0</v>
      </c>
      <c r="AT16" s="124">
        <f t="shared" si="15"/>
        <v>0</v>
      </c>
      <c r="AU16" s="124">
        <f t="shared" si="16"/>
        <v>0</v>
      </c>
      <c r="AV16" s="117" t="s">
        <v>29</v>
      </c>
      <c r="AW16" s="291">
        <f>IF(($R$41=AV16)*AND($R$42&lt;&gt;""),VLOOKUP($R$42,'Barèmes police'!$Z$4:$AA$30,2),0)</f>
        <v>0</v>
      </c>
      <c r="AX16" s="16" t="str">
        <f>IF('Types de jours'!F22&lt;&gt;"",'Types de jours'!F22,"")</f>
        <v>Jour férié semaine</v>
      </c>
      <c r="AY16" s="144">
        <f>IF(AX16&lt;&gt;"",'Types de jours'!I22,"")</f>
        <v>0.31666666666666665</v>
      </c>
      <c r="AZ16" s="269"/>
      <c r="BA16" s="154"/>
      <c r="BB16" s="154"/>
      <c r="BC16" s="154"/>
      <c r="BD16" s="154"/>
      <c r="BE16" s="154"/>
      <c r="BF16" s="154"/>
    </row>
    <row r="17" spans="1:58" ht="12.75" customHeight="1" x14ac:dyDescent="0.2">
      <c r="A17" s="34"/>
      <c r="B17" s="24" t="str">
        <f t="shared" si="0"/>
        <v>Me</v>
      </c>
      <c r="C17" s="25">
        <f t="shared" si="22"/>
        <v>45301</v>
      </c>
      <c r="D17" s="51"/>
      <c r="E17" s="116"/>
      <c r="F17" s="52"/>
      <c r="G17" s="53"/>
      <c r="H17" s="52"/>
      <c r="I17" s="53"/>
      <c r="J17" s="54"/>
      <c r="K17" s="55"/>
      <c r="L17" s="40">
        <f t="shared" si="1"/>
        <v>0</v>
      </c>
      <c r="M17" s="41">
        <f t="shared" si="23"/>
        <v>0.31666666666666665</v>
      </c>
      <c r="N17" s="42">
        <f>IF(AND(D17&lt;&gt;"Jour libre 4/5",B17&lt;&gt;"Sa",B17&lt;&gt;"Di"),SUM(N16,Configuration!$H$41),SUM(N16))</f>
        <v>2.5333333333333332</v>
      </c>
      <c r="O17" s="49" t="str">
        <f t="shared" si="24"/>
        <v>-</v>
      </c>
      <c r="P17" s="143">
        <f t="shared" si="17"/>
        <v>2.2166666666666668</v>
      </c>
      <c r="Q17" s="167">
        <f t="shared" si="18"/>
        <v>0</v>
      </c>
      <c r="R17" s="168">
        <f t="shared" si="18"/>
        <v>0</v>
      </c>
      <c r="S17" s="168">
        <f t="shared" si="18"/>
        <v>0</v>
      </c>
      <c r="T17" s="169">
        <f t="shared" si="18"/>
        <v>0</v>
      </c>
      <c r="U17" s="97">
        <f t="shared" si="2"/>
        <v>0</v>
      </c>
      <c r="V17" s="97">
        <f t="shared" si="3"/>
        <v>0</v>
      </c>
      <c r="W17" s="97">
        <f t="shared" si="4"/>
        <v>0</v>
      </c>
      <c r="X17" s="97">
        <f t="shared" si="5"/>
        <v>0</v>
      </c>
      <c r="Y17" s="209"/>
      <c r="Z17" s="210"/>
      <c r="AA17" s="210"/>
      <c r="AB17" s="128">
        <f>IF(AND(D17="Jour férié semaine",((G17-F17)+(I17-H17)+(K17-J17)=0)),VLOOKUP(D17,Systeemgegevens!$J:$K,2,FALSE),0)</f>
        <v>0</v>
      </c>
      <c r="AC17" s="43">
        <f>IF(AND(NOT(ISERROR(FIND("Congé",D17))),ISERROR(FIND("1/2",D17)),ISERROR(FIND("Synd",D17)),ISERROR(FIND("synd",D17)),(G17-F17+I17-H17+K17-J17)=0),VLOOKUP(D17,Systeemgegevens!$J:$K,2,FALSE),IF(AND(NOT(ISERROR(FIND("1/2 Congé + ",D17))),(G17-F17+I17-H17+K17-J17)=0),VLOOKUP(D17,Systeemgegevens!$J:$K,2,FALSE)/2,IF(AND(NOT(ISERROR(FIND("1/2 Congé",D17))),ISERROR(FIND(" + ",D17)),ISERROR(FIND("1/2 Congé Synd.",D17))),VLOOKUP(D17,Systeemgegevens!$J:$K,2,FALSE),0)))</f>
        <v>0</v>
      </c>
      <c r="AD17" s="43">
        <f>IF(AND(OR(D17="1/2 Congé Synd.",D17="Congé Synd."),((G17-F17)+(I17-H17)+(K17-J17)=0)),VLOOKUP(D17,Systeemgegevens!$J:$K,2,FALSE),IF(AND(D17="1/2 Congé + 1/2 synd.",((G17-F17)+(I17-H17)+(K17-J17)=0)),AC17,0))</f>
        <v>0</v>
      </c>
      <c r="AE17" s="43">
        <f>IF(AND(D17="Jour de pont",((G17-F17)+(I17-H17)+(K17-J17)=0)),VLOOKUP(D17,Systeemgegevens!$J:$K,2,FALSE),0)</f>
        <v>0</v>
      </c>
      <c r="AF17" s="43">
        <f>IF(AND(D17="Jour libre 4/5",AND((G17-F17)+(I17-H17)+(K17-J17)=0)),VLOOKUP(D17,Systeemgegevens!$J:$K,2,FALSE),0)</f>
        <v>0</v>
      </c>
      <c r="AG17" s="118">
        <f>IF(AND(D17&lt;&gt;"",SUM(AB17:AF17)=0,D17&lt;&gt;$AB$4,D17&lt;&gt;$AC$4,D17&lt;&gt;$AE$4,D17&lt;&gt;$AF$4),VLOOKUP(D17,Systeemgegevens!$J:$K,2,FALSE),0)</f>
        <v>0</v>
      </c>
      <c r="AH17" s="119">
        <f t="shared" si="6"/>
        <v>0</v>
      </c>
      <c r="AI17" s="101">
        <f t="shared" si="7"/>
        <v>0</v>
      </c>
      <c r="AJ17" s="118">
        <f t="shared" si="19"/>
        <v>0</v>
      </c>
      <c r="AK17" s="119">
        <f t="shared" si="8"/>
        <v>0</v>
      </c>
      <c r="AL17" s="101">
        <f t="shared" si="9"/>
        <v>0</v>
      </c>
      <c r="AM17" s="43">
        <f t="shared" si="20"/>
        <v>0</v>
      </c>
      <c r="AN17" s="118">
        <f t="shared" si="21"/>
        <v>0</v>
      </c>
      <c r="AO17" s="122">
        <f t="shared" si="10"/>
        <v>0</v>
      </c>
      <c r="AP17" s="107">
        <f t="shared" si="11"/>
        <v>0</v>
      </c>
      <c r="AQ17" s="107">
        <f t="shared" si="12"/>
        <v>0</v>
      </c>
      <c r="AR17" s="123">
        <f t="shared" si="13"/>
        <v>0</v>
      </c>
      <c r="AS17" s="124">
        <f t="shared" si="14"/>
        <v>0</v>
      </c>
      <c r="AT17" s="124">
        <f t="shared" si="15"/>
        <v>0</v>
      </c>
      <c r="AU17" s="124">
        <f t="shared" si="16"/>
        <v>0</v>
      </c>
      <c r="AV17" s="117" t="s">
        <v>28</v>
      </c>
      <c r="AW17" s="291">
        <f>IF(($R$41=AV17)*AND($R$42&lt;&gt;""),VLOOKUP($R$42,'Barèmes police'!$AC$4:$AD$30,2),0)</f>
        <v>0</v>
      </c>
      <c r="AX17" s="16" t="str">
        <f>IF('Types de jours'!F23&lt;&gt;"",'Types de jours'!F23,"")</f>
        <v>Jour libre 4/5</v>
      </c>
      <c r="AY17" s="144">
        <f>IF(AX17&lt;&gt;"",'Types de jours'!I23,"")</f>
        <v>0</v>
      </c>
      <c r="AZ17" s="269"/>
      <c r="BA17" s="154"/>
      <c r="BB17" s="154"/>
      <c r="BC17" s="154"/>
      <c r="BD17" s="154"/>
      <c r="BE17" s="154"/>
      <c r="BF17" s="154"/>
    </row>
    <row r="18" spans="1:58" ht="12.75" customHeight="1" x14ac:dyDescent="0.2">
      <c r="A18" s="34"/>
      <c r="B18" s="24" t="str">
        <f t="shared" si="0"/>
        <v>Je</v>
      </c>
      <c r="C18" s="25">
        <f t="shared" si="22"/>
        <v>45302</v>
      </c>
      <c r="D18" s="51"/>
      <c r="E18" s="116"/>
      <c r="F18" s="52"/>
      <c r="G18" s="53"/>
      <c r="H18" s="52"/>
      <c r="I18" s="53"/>
      <c r="J18" s="54"/>
      <c r="K18" s="55"/>
      <c r="L18" s="40">
        <f t="shared" si="1"/>
        <v>0</v>
      </c>
      <c r="M18" s="41">
        <f t="shared" si="23"/>
        <v>0.31666666666666665</v>
      </c>
      <c r="N18" s="42">
        <f>IF(AND(D18&lt;&gt;"Jour libre 4/5",B18&lt;&gt;"Sa",B18&lt;&gt;"Di"),SUM(N17,Configuration!$H$41),SUM(N17))</f>
        <v>2.8499999999999996</v>
      </c>
      <c r="O18" s="49" t="str">
        <f t="shared" si="24"/>
        <v>-</v>
      </c>
      <c r="P18" s="143">
        <f t="shared" si="17"/>
        <v>2.5333333333333332</v>
      </c>
      <c r="Q18" s="167">
        <f t="shared" si="18"/>
        <v>0</v>
      </c>
      <c r="R18" s="168">
        <f t="shared" si="18"/>
        <v>0</v>
      </c>
      <c r="S18" s="168">
        <f t="shared" si="18"/>
        <v>0</v>
      </c>
      <c r="T18" s="169">
        <f t="shared" si="18"/>
        <v>0</v>
      </c>
      <c r="U18" s="97">
        <f t="shared" si="2"/>
        <v>0</v>
      </c>
      <c r="V18" s="97">
        <f t="shared" si="3"/>
        <v>0</v>
      </c>
      <c r="W18" s="97">
        <f t="shared" si="4"/>
        <v>0</v>
      </c>
      <c r="X18" s="97">
        <f t="shared" si="5"/>
        <v>0</v>
      </c>
      <c r="Y18" s="209"/>
      <c r="Z18" s="210"/>
      <c r="AA18" s="210"/>
      <c r="AB18" s="128">
        <f>IF(AND(D18="Jour férié semaine",((G18-F18)+(I18-H18)+(K18-J18)=0)),VLOOKUP(D18,Systeemgegevens!$J:$K,2,FALSE),0)</f>
        <v>0</v>
      </c>
      <c r="AC18" s="43">
        <f>IF(AND(NOT(ISERROR(FIND("Congé",D18))),ISERROR(FIND("1/2",D18)),ISERROR(FIND("Synd",D18)),ISERROR(FIND("synd",D18)),(G18-F18+I18-H18+K18-J18)=0),VLOOKUP(D18,Systeemgegevens!$J:$K,2,FALSE),IF(AND(NOT(ISERROR(FIND("1/2 Congé + ",D18))),(G18-F18+I18-H18+K18-J18)=0),VLOOKUP(D18,Systeemgegevens!$J:$K,2,FALSE)/2,IF(AND(NOT(ISERROR(FIND("1/2 Congé",D18))),ISERROR(FIND(" + ",D18)),ISERROR(FIND("1/2 Congé Synd.",D18))),VLOOKUP(D18,Systeemgegevens!$J:$K,2,FALSE),0)))</f>
        <v>0</v>
      </c>
      <c r="AD18" s="43">
        <f>IF(AND(OR(D18="1/2 Congé Synd.",D18="Congé Synd."),((G18-F18)+(I18-H18)+(K18-J18)=0)),VLOOKUP(D18,Systeemgegevens!$J:$K,2,FALSE),IF(AND(D18="1/2 Congé + 1/2 synd.",((G18-F18)+(I18-H18)+(K18-J18)=0)),AC18,0))</f>
        <v>0</v>
      </c>
      <c r="AE18" s="43">
        <f>IF(AND(D18="Jour de pont",((G18-F18)+(I18-H18)+(K18-J18)=0)),VLOOKUP(D18,Systeemgegevens!$J:$K,2,FALSE),0)</f>
        <v>0</v>
      </c>
      <c r="AF18" s="43">
        <f>IF(AND(D18="Jour libre 4/5",AND((G18-F18)+(I18-H18)+(K18-J18)=0)),VLOOKUP(D18,Systeemgegevens!$J:$K,2,FALSE),0)</f>
        <v>0</v>
      </c>
      <c r="AG18" s="118">
        <f>IF(AND(D18&lt;&gt;"",SUM(AB18:AF18)=0,D18&lt;&gt;$AB$4,D18&lt;&gt;$AC$4,D18&lt;&gt;$AE$4,D18&lt;&gt;$AF$4),VLOOKUP(D18,Systeemgegevens!$J:$K,2,FALSE),0)</f>
        <v>0</v>
      </c>
      <c r="AH18" s="119">
        <f t="shared" si="6"/>
        <v>0</v>
      </c>
      <c r="AI18" s="101">
        <f t="shared" si="7"/>
        <v>0</v>
      </c>
      <c r="AJ18" s="118">
        <f t="shared" si="19"/>
        <v>0</v>
      </c>
      <c r="AK18" s="119">
        <f t="shared" si="8"/>
        <v>0</v>
      </c>
      <c r="AL18" s="101">
        <f t="shared" si="9"/>
        <v>0</v>
      </c>
      <c r="AM18" s="43">
        <f t="shared" si="20"/>
        <v>0</v>
      </c>
      <c r="AN18" s="118">
        <f t="shared" si="21"/>
        <v>0</v>
      </c>
      <c r="AO18" s="122">
        <f t="shared" si="10"/>
        <v>0</v>
      </c>
      <c r="AP18" s="107">
        <f t="shared" si="11"/>
        <v>0</v>
      </c>
      <c r="AQ18" s="107">
        <f t="shared" si="12"/>
        <v>0</v>
      </c>
      <c r="AR18" s="123">
        <f t="shared" si="13"/>
        <v>0</v>
      </c>
      <c r="AS18" s="124">
        <f t="shared" si="14"/>
        <v>0</v>
      </c>
      <c r="AT18" s="124">
        <f t="shared" si="15"/>
        <v>0</v>
      </c>
      <c r="AU18" s="124">
        <f t="shared" si="16"/>
        <v>0</v>
      </c>
      <c r="AV18" s="117" t="s">
        <v>27</v>
      </c>
      <c r="AW18" s="291">
        <f>IF(($R$41=AV18)*AND($R$42&lt;&gt;""),VLOOKUP($R$42,'Barèmes police'!$AF$4:$AG$30,2),0)</f>
        <v>0</v>
      </c>
      <c r="AX18" s="16" t="str">
        <f>IF('Types de jours'!F24&lt;&gt;"",'Types de jours'!F24,"")</f>
        <v>Jour de pont</v>
      </c>
      <c r="AY18" s="144">
        <f>IF(AX18&lt;&gt;"",'Types de jours'!I24,"")</f>
        <v>0.31666666666666665</v>
      </c>
      <c r="AZ18" s="269"/>
      <c r="BA18" s="154"/>
      <c r="BB18" s="154"/>
      <c r="BC18" s="154"/>
      <c r="BD18" s="154"/>
      <c r="BE18" s="154"/>
      <c r="BF18" s="154"/>
    </row>
    <row r="19" spans="1:58" ht="12.75" customHeight="1" x14ac:dyDescent="0.2">
      <c r="A19" s="34"/>
      <c r="B19" s="24" t="str">
        <f t="shared" si="0"/>
        <v>Ve</v>
      </c>
      <c r="C19" s="25">
        <f t="shared" si="22"/>
        <v>45303</v>
      </c>
      <c r="D19" s="51"/>
      <c r="E19" s="116"/>
      <c r="F19" s="52"/>
      <c r="G19" s="53"/>
      <c r="H19" s="52"/>
      <c r="I19" s="53"/>
      <c r="J19" s="54"/>
      <c r="K19" s="55"/>
      <c r="L19" s="40">
        <f t="shared" si="1"/>
        <v>0</v>
      </c>
      <c r="M19" s="41">
        <f t="shared" si="23"/>
        <v>0.31666666666666665</v>
      </c>
      <c r="N19" s="42">
        <f>IF(AND(D19&lt;&gt;"Jour libre 4/5",B19&lt;&gt;"Sa",B19&lt;&gt;"Di"),SUM(N18,Configuration!$H$41),SUM(N18))</f>
        <v>3.1666666666666661</v>
      </c>
      <c r="O19" s="49" t="str">
        <f t="shared" si="24"/>
        <v>-</v>
      </c>
      <c r="P19" s="143">
        <f t="shared" si="17"/>
        <v>2.8499999999999996</v>
      </c>
      <c r="Q19" s="167">
        <f t="shared" si="18"/>
        <v>0</v>
      </c>
      <c r="R19" s="168">
        <f t="shared" si="18"/>
        <v>0</v>
      </c>
      <c r="S19" s="168">
        <f t="shared" si="18"/>
        <v>0</v>
      </c>
      <c r="T19" s="169">
        <f t="shared" si="18"/>
        <v>0</v>
      </c>
      <c r="U19" s="97">
        <f t="shared" si="2"/>
        <v>0</v>
      </c>
      <c r="V19" s="97">
        <f t="shared" si="3"/>
        <v>0</v>
      </c>
      <c r="W19" s="97">
        <f t="shared" si="4"/>
        <v>0</v>
      </c>
      <c r="X19" s="97">
        <f t="shared" si="5"/>
        <v>0</v>
      </c>
      <c r="Y19" s="209"/>
      <c r="Z19" s="210"/>
      <c r="AA19" s="210"/>
      <c r="AB19" s="128">
        <f>IF(AND(D19="Jour férié semaine",((G19-F19)+(I19-H19)+(K19-J19)=0)),VLOOKUP(D19,Systeemgegevens!$J:$K,2,FALSE),0)</f>
        <v>0</v>
      </c>
      <c r="AC19" s="43">
        <f>IF(AND(NOT(ISERROR(FIND("Congé",D19))),ISERROR(FIND("1/2",D19)),ISERROR(FIND("Synd",D19)),ISERROR(FIND("synd",D19)),(G19-F19+I19-H19+K19-J19)=0),VLOOKUP(D19,Systeemgegevens!$J:$K,2,FALSE),IF(AND(NOT(ISERROR(FIND("1/2 Congé + ",D19))),(G19-F19+I19-H19+K19-J19)=0),VLOOKUP(D19,Systeemgegevens!$J:$K,2,FALSE)/2,IF(AND(NOT(ISERROR(FIND("1/2 Congé",D19))),ISERROR(FIND(" + ",D19)),ISERROR(FIND("1/2 Congé Synd.",D19))),VLOOKUP(D19,Systeemgegevens!$J:$K,2,FALSE),0)))</f>
        <v>0</v>
      </c>
      <c r="AD19" s="43">
        <f>IF(AND(OR(D19="1/2 Congé Synd.",D19="Congé Synd."),((G19-F19)+(I19-H19)+(K19-J19)=0)),VLOOKUP(D19,Systeemgegevens!$J:$K,2,FALSE),IF(AND(D19="1/2 Congé + 1/2 synd.",((G19-F19)+(I19-H19)+(K19-J19)=0)),AC19,0))</f>
        <v>0</v>
      </c>
      <c r="AE19" s="43">
        <f>IF(AND(D19="Jour de pont",((G19-F19)+(I19-H19)+(K19-J19)=0)),VLOOKUP(D19,Systeemgegevens!$J:$K,2,FALSE),0)</f>
        <v>0</v>
      </c>
      <c r="AF19" s="43">
        <f>IF(AND(D19="Jour libre 4/5",AND((G19-F19)+(I19-H19)+(K19-J19)=0)),VLOOKUP(D19,Systeemgegevens!$J:$K,2,FALSE),0)</f>
        <v>0</v>
      </c>
      <c r="AG19" s="118">
        <f>IF(AND(D19&lt;&gt;"",SUM(AB19:AF19)=0,D19&lt;&gt;$AB$4,D19&lt;&gt;$AC$4,D19&lt;&gt;$AE$4,D19&lt;&gt;$AF$4),VLOOKUP(D19,Systeemgegevens!$J:$K,2,FALSE),0)</f>
        <v>0</v>
      </c>
      <c r="AH19" s="119">
        <f t="shared" si="6"/>
        <v>0</v>
      </c>
      <c r="AI19" s="101">
        <f t="shared" si="7"/>
        <v>0</v>
      </c>
      <c r="AJ19" s="118">
        <f t="shared" si="19"/>
        <v>0</v>
      </c>
      <c r="AK19" s="119">
        <f t="shared" si="8"/>
        <v>0</v>
      </c>
      <c r="AL19" s="101">
        <f t="shared" si="9"/>
        <v>0</v>
      </c>
      <c r="AM19" s="43">
        <f t="shared" si="20"/>
        <v>0</v>
      </c>
      <c r="AN19" s="118">
        <f t="shared" si="21"/>
        <v>0</v>
      </c>
      <c r="AO19" s="122">
        <f t="shared" si="10"/>
        <v>0</v>
      </c>
      <c r="AP19" s="107">
        <f t="shared" si="11"/>
        <v>0</v>
      </c>
      <c r="AQ19" s="107">
        <f t="shared" si="12"/>
        <v>0</v>
      </c>
      <c r="AR19" s="123">
        <f t="shared" si="13"/>
        <v>0</v>
      </c>
      <c r="AS19" s="124">
        <f t="shared" si="14"/>
        <v>0</v>
      </c>
      <c r="AT19" s="124">
        <f t="shared" si="15"/>
        <v>0</v>
      </c>
      <c r="AU19" s="124">
        <f t="shared" si="16"/>
        <v>0</v>
      </c>
      <c r="AV19" s="117" t="s">
        <v>26</v>
      </c>
      <c r="AW19" s="291">
        <f>IF(($R$41=AV19)*AND($R$42&lt;&gt;""),VLOOKUP($R$42,'Barèmes police'!$AI$4:$AJ$30,2),0)</f>
        <v>0</v>
      </c>
      <c r="AX19" s="16" t="str">
        <f>IF('Types de jours'!F25&lt;&gt;"",'Types de jours'!F25,"")</f>
        <v>Congé 12h</v>
      </c>
      <c r="AY19" s="144">
        <f>IF(AX19&lt;&gt;"",'Types de jours'!I25,"")</f>
        <v>0.5</v>
      </c>
      <c r="AZ19" s="269"/>
      <c r="BA19" s="154"/>
      <c r="BB19" s="154"/>
      <c r="BC19" s="154"/>
      <c r="BD19" s="154"/>
      <c r="BE19" s="154"/>
      <c r="BF19" s="154"/>
    </row>
    <row r="20" spans="1:58" ht="12.75" customHeight="1" x14ac:dyDescent="0.2">
      <c r="A20" s="34"/>
      <c r="B20" s="24" t="str">
        <f t="shared" si="0"/>
        <v>Sa</v>
      </c>
      <c r="C20" s="25">
        <f t="shared" si="22"/>
        <v>45304</v>
      </c>
      <c r="D20" s="51"/>
      <c r="E20" s="116"/>
      <c r="F20" s="52"/>
      <c r="G20" s="53"/>
      <c r="H20" s="52"/>
      <c r="I20" s="53"/>
      <c r="J20" s="54"/>
      <c r="K20" s="55"/>
      <c r="L20" s="40">
        <f t="shared" si="1"/>
        <v>0</v>
      </c>
      <c r="M20" s="41">
        <f t="shared" si="23"/>
        <v>0.31666666666666665</v>
      </c>
      <c r="N20" s="42">
        <f>IF(AND(D20&lt;&gt;"Jour libre 4/5",B20&lt;&gt;"Sa",B20&lt;&gt;"Di"),SUM(N19,Configuration!$H$41),SUM(N19))</f>
        <v>3.1666666666666661</v>
      </c>
      <c r="O20" s="49" t="str">
        <f t="shared" si="24"/>
        <v>-</v>
      </c>
      <c r="P20" s="143">
        <f t="shared" si="17"/>
        <v>2.8499999999999996</v>
      </c>
      <c r="Q20" s="167">
        <f t="shared" si="18"/>
        <v>0</v>
      </c>
      <c r="R20" s="168">
        <f t="shared" si="18"/>
        <v>0</v>
      </c>
      <c r="S20" s="168">
        <f t="shared" si="18"/>
        <v>0</v>
      </c>
      <c r="T20" s="169">
        <f t="shared" si="18"/>
        <v>0</v>
      </c>
      <c r="U20" s="97">
        <f t="shared" si="2"/>
        <v>0</v>
      </c>
      <c r="V20" s="97">
        <f t="shared" si="3"/>
        <v>0</v>
      </c>
      <c r="W20" s="97">
        <f t="shared" si="4"/>
        <v>0</v>
      </c>
      <c r="X20" s="97">
        <f t="shared" si="5"/>
        <v>0</v>
      </c>
      <c r="Y20" s="209"/>
      <c r="Z20" s="210"/>
      <c r="AA20" s="210"/>
      <c r="AB20" s="128">
        <f>IF(AND(D20="Jour férié semaine",((G20-F20)+(I20-H20)+(K20-J20)=0)),VLOOKUP(D20,Systeemgegevens!$J:$K,2,FALSE),0)</f>
        <v>0</v>
      </c>
      <c r="AC20" s="43">
        <f>IF(AND(NOT(ISERROR(FIND("Congé",D20))),ISERROR(FIND("1/2",D20)),ISERROR(FIND("Synd",D20)),ISERROR(FIND("synd",D20)),(G20-F20+I20-H20+K20-J20)=0),VLOOKUP(D20,Systeemgegevens!$J:$K,2,FALSE),IF(AND(NOT(ISERROR(FIND("1/2 Congé + ",D20))),(G20-F20+I20-H20+K20-J20)=0),VLOOKUP(D20,Systeemgegevens!$J:$K,2,FALSE)/2,IF(AND(NOT(ISERROR(FIND("1/2 Congé",D20))),ISERROR(FIND(" + ",D20)),ISERROR(FIND("1/2 Congé Synd.",D20))),VLOOKUP(D20,Systeemgegevens!$J:$K,2,FALSE),0)))</f>
        <v>0</v>
      </c>
      <c r="AD20" s="43">
        <f>IF(AND(OR(D20="1/2 Congé Synd.",D20="Congé Synd."),((G20-F20)+(I20-H20)+(K20-J20)=0)),VLOOKUP(D20,Systeemgegevens!$J:$K,2,FALSE),IF(AND(D20="1/2 Congé + 1/2 synd.",((G20-F20)+(I20-H20)+(K20-J20)=0)),AC20,0))</f>
        <v>0</v>
      </c>
      <c r="AE20" s="43">
        <f>IF(AND(D20="Jour de pont",((G20-F20)+(I20-H20)+(K20-J20)=0)),VLOOKUP(D20,Systeemgegevens!$J:$K,2,FALSE),0)</f>
        <v>0</v>
      </c>
      <c r="AF20" s="43">
        <f>IF(AND(D20="Jour libre 4/5",AND((G20-F20)+(I20-H20)+(K20-J20)=0)),VLOOKUP(D20,Systeemgegevens!$J:$K,2,FALSE),0)</f>
        <v>0</v>
      </c>
      <c r="AG20" s="118">
        <f>IF(AND(D20&lt;&gt;"",SUM(AB20:AF20)=0,D20&lt;&gt;$AB$4,D20&lt;&gt;$AC$4,D20&lt;&gt;$AE$4,D20&lt;&gt;$AF$4),VLOOKUP(D20,Systeemgegevens!$J:$K,2,FALSE),0)</f>
        <v>0</v>
      </c>
      <c r="AH20" s="119">
        <f t="shared" si="6"/>
        <v>0</v>
      </c>
      <c r="AI20" s="101">
        <f t="shared" si="7"/>
        <v>0</v>
      </c>
      <c r="AJ20" s="118">
        <f t="shared" si="19"/>
        <v>0</v>
      </c>
      <c r="AK20" s="119">
        <f t="shared" si="8"/>
        <v>0</v>
      </c>
      <c r="AL20" s="101">
        <f t="shared" si="9"/>
        <v>0</v>
      </c>
      <c r="AM20" s="43">
        <f t="shared" si="20"/>
        <v>0</v>
      </c>
      <c r="AN20" s="118">
        <f t="shared" si="21"/>
        <v>0</v>
      </c>
      <c r="AO20" s="122">
        <f t="shared" si="10"/>
        <v>0</v>
      </c>
      <c r="AP20" s="107">
        <f t="shared" si="11"/>
        <v>0</v>
      </c>
      <c r="AQ20" s="107">
        <f t="shared" si="12"/>
        <v>0</v>
      </c>
      <c r="AR20" s="123">
        <f t="shared" si="13"/>
        <v>0</v>
      </c>
      <c r="AS20" s="124">
        <f t="shared" si="14"/>
        <v>0</v>
      </c>
      <c r="AT20" s="124">
        <f t="shared" si="15"/>
        <v>0</v>
      </c>
      <c r="AU20" s="124">
        <f t="shared" si="16"/>
        <v>0</v>
      </c>
      <c r="AV20" s="117" t="s">
        <v>25</v>
      </c>
      <c r="AW20" s="291">
        <f>IF(($R$41=AV20)*AND($R$42&lt;&gt;""),VLOOKUP($R$42,'Barèmes police'!$AL$4:$AM$30,2),0)</f>
        <v>0</v>
      </c>
      <c r="AX20" s="16" t="str">
        <f>IF('Types de jours'!F26&lt;&gt;"",'Types de jours'!F26,"")</f>
        <v/>
      </c>
      <c r="AY20" s="144" t="str">
        <f>IF(AX20&lt;&gt;"",'Types de jours'!I26,"")</f>
        <v/>
      </c>
      <c r="AZ20" s="269"/>
      <c r="BA20" s="154"/>
      <c r="BB20" s="154"/>
      <c r="BC20" s="154"/>
      <c r="BD20" s="154"/>
      <c r="BE20" s="154"/>
      <c r="BF20" s="154"/>
    </row>
    <row r="21" spans="1:58" ht="12.75" customHeight="1" x14ac:dyDescent="0.2">
      <c r="A21" s="34"/>
      <c r="B21" s="24" t="str">
        <f t="shared" si="0"/>
        <v>Di</v>
      </c>
      <c r="C21" s="25">
        <f t="shared" si="22"/>
        <v>45305</v>
      </c>
      <c r="D21" s="51"/>
      <c r="E21" s="116"/>
      <c r="F21" s="52"/>
      <c r="G21" s="53"/>
      <c r="H21" s="52"/>
      <c r="I21" s="53"/>
      <c r="J21" s="54"/>
      <c r="K21" s="55"/>
      <c r="L21" s="40">
        <f t="shared" si="1"/>
        <v>0</v>
      </c>
      <c r="M21" s="41">
        <f t="shared" si="23"/>
        <v>0.31666666666666665</v>
      </c>
      <c r="N21" s="42">
        <f>IF(AND(D21&lt;&gt;"Jour libre 4/5",B21&lt;&gt;"Sa",B21&lt;&gt;"Di"),SUM(N20,Configuration!$H$41),SUM(N20))</f>
        <v>3.1666666666666661</v>
      </c>
      <c r="O21" s="49" t="str">
        <f t="shared" si="24"/>
        <v>-</v>
      </c>
      <c r="P21" s="143">
        <f t="shared" si="17"/>
        <v>2.8499999999999996</v>
      </c>
      <c r="Q21" s="167">
        <f t="shared" si="18"/>
        <v>0</v>
      </c>
      <c r="R21" s="168">
        <f t="shared" si="18"/>
        <v>0</v>
      </c>
      <c r="S21" s="168">
        <f t="shared" si="18"/>
        <v>0</v>
      </c>
      <c r="T21" s="169">
        <f t="shared" si="18"/>
        <v>0</v>
      </c>
      <c r="U21" s="97">
        <f t="shared" si="2"/>
        <v>0</v>
      </c>
      <c r="V21" s="97">
        <f t="shared" si="3"/>
        <v>0</v>
      </c>
      <c r="W21" s="97">
        <f t="shared" si="4"/>
        <v>0</v>
      </c>
      <c r="X21" s="97">
        <f t="shared" si="5"/>
        <v>0</v>
      </c>
      <c r="Y21" s="209"/>
      <c r="Z21" s="210"/>
      <c r="AA21" s="210"/>
      <c r="AB21" s="128">
        <f>IF(AND(D21="Jour férié semaine",((G21-F21)+(I21-H21)+(K21-J21)=0)),VLOOKUP(D21,Systeemgegevens!$J:$K,2,FALSE),0)</f>
        <v>0</v>
      </c>
      <c r="AC21" s="43">
        <f>IF(AND(NOT(ISERROR(FIND("Congé",D21))),ISERROR(FIND("1/2",D21)),ISERROR(FIND("Synd",D21)),ISERROR(FIND("synd",D21)),(G21-F21+I21-H21+K21-J21)=0),VLOOKUP(D21,Systeemgegevens!$J:$K,2,FALSE),IF(AND(NOT(ISERROR(FIND("1/2 Congé + ",D21))),(G21-F21+I21-H21+K21-J21)=0),VLOOKUP(D21,Systeemgegevens!$J:$K,2,FALSE)/2,IF(AND(NOT(ISERROR(FIND("1/2 Congé",D21))),ISERROR(FIND(" + ",D21)),ISERROR(FIND("1/2 Congé Synd.",D21))),VLOOKUP(D21,Systeemgegevens!$J:$K,2,FALSE),0)))</f>
        <v>0</v>
      </c>
      <c r="AD21" s="43">
        <f>IF(AND(OR(D21="1/2 Congé Synd.",D21="Congé Synd."),((G21-F21)+(I21-H21)+(K21-J21)=0)),VLOOKUP(D21,Systeemgegevens!$J:$K,2,FALSE),IF(AND(D21="1/2 Congé + 1/2 synd.",((G21-F21)+(I21-H21)+(K21-J21)=0)),AC21,0))</f>
        <v>0</v>
      </c>
      <c r="AE21" s="43">
        <f>IF(AND(D21="Jour de pont",((G21-F21)+(I21-H21)+(K21-J21)=0)),VLOOKUP(D21,Systeemgegevens!$J:$K,2,FALSE),0)</f>
        <v>0</v>
      </c>
      <c r="AF21" s="43">
        <f>IF(AND(D21="Jour libre 4/5",AND((G21-F21)+(I21-H21)+(K21-J21)=0)),VLOOKUP(D21,Systeemgegevens!$J:$K,2,FALSE),0)</f>
        <v>0</v>
      </c>
      <c r="AG21" s="118">
        <f>IF(AND(D21&lt;&gt;"",SUM(AB21:AF21)=0,D21&lt;&gt;$AB$4,D21&lt;&gt;$AC$4,D21&lt;&gt;$AE$4,D21&lt;&gt;$AF$4),VLOOKUP(D21,Systeemgegevens!$J:$K,2,FALSE),0)</f>
        <v>0</v>
      </c>
      <c r="AH21" s="119">
        <f t="shared" si="6"/>
        <v>0</v>
      </c>
      <c r="AI21" s="101">
        <f t="shared" si="7"/>
        <v>0</v>
      </c>
      <c r="AJ21" s="118">
        <f t="shared" si="19"/>
        <v>0</v>
      </c>
      <c r="AK21" s="119">
        <f t="shared" si="8"/>
        <v>0</v>
      </c>
      <c r="AL21" s="101">
        <f t="shared" si="9"/>
        <v>0</v>
      </c>
      <c r="AM21" s="43">
        <f t="shared" si="20"/>
        <v>0</v>
      </c>
      <c r="AN21" s="118">
        <f t="shared" si="21"/>
        <v>0</v>
      </c>
      <c r="AO21" s="122">
        <f t="shared" si="10"/>
        <v>0</v>
      </c>
      <c r="AP21" s="107">
        <f t="shared" si="11"/>
        <v>0</v>
      </c>
      <c r="AQ21" s="107">
        <f t="shared" si="12"/>
        <v>0</v>
      </c>
      <c r="AR21" s="123">
        <f t="shared" si="13"/>
        <v>0</v>
      </c>
      <c r="AS21" s="124">
        <f t="shared" si="14"/>
        <v>0</v>
      </c>
      <c r="AT21" s="124">
        <f t="shared" si="15"/>
        <v>0</v>
      </c>
      <c r="AU21" s="124">
        <f t="shared" si="16"/>
        <v>0</v>
      </c>
      <c r="AV21" s="117" t="s">
        <v>24</v>
      </c>
      <c r="AW21" s="291">
        <f>IF(($R$41=AV21)*AND($R$42&lt;&gt;""),VLOOKUP($R$42,'Barèmes police'!$AO$4:$AP$30,2),0)</f>
        <v>0</v>
      </c>
      <c r="AX21" s="16" t="str">
        <f>IF('Types de jours'!F27&lt;&gt;"",'Types de jours'!F27,"")</f>
        <v/>
      </c>
      <c r="AY21" s="144" t="str">
        <f>IF(AX21&lt;&gt;"",'Types de jours'!I27,"")</f>
        <v/>
      </c>
      <c r="AZ21" s="269"/>
      <c r="BA21" s="154"/>
      <c r="BB21" s="154"/>
      <c r="BC21" s="154"/>
      <c r="BD21" s="154"/>
      <c r="BE21" s="154"/>
      <c r="BF21" s="154"/>
    </row>
    <row r="22" spans="1:58" ht="12.75" customHeight="1" x14ac:dyDescent="0.2">
      <c r="A22" s="34"/>
      <c r="B22" s="24" t="str">
        <f t="shared" si="0"/>
        <v>Lu</v>
      </c>
      <c r="C22" s="25">
        <f t="shared" si="22"/>
        <v>45306</v>
      </c>
      <c r="D22" s="51"/>
      <c r="E22" s="116"/>
      <c r="F22" s="52"/>
      <c r="G22" s="53"/>
      <c r="H22" s="52"/>
      <c r="I22" s="53"/>
      <c r="J22" s="54"/>
      <c r="K22" s="55"/>
      <c r="L22" s="40">
        <f t="shared" si="1"/>
        <v>0</v>
      </c>
      <c r="M22" s="41">
        <f t="shared" si="23"/>
        <v>0.31666666666666665</v>
      </c>
      <c r="N22" s="42">
        <f>IF(AND(D22&lt;&gt;"Jour libre 4/5",B22&lt;&gt;"Sa",B22&lt;&gt;"Di"),SUM(N21,Configuration!$H$41),SUM(N21))</f>
        <v>3.4833333333333325</v>
      </c>
      <c r="O22" s="49" t="str">
        <f t="shared" si="24"/>
        <v>-</v>
      </c>
      <c r="P22" s="143">
        <f t="shared" si="17"/>
        <v>3.1666666666666661</v>
      </c>
      <c r="Q22" s="167">
        <f t="shared" si="18"/>
        <v>0</v>
      </c>
      <c r="R22" s="168">
        <f t="shared" si="18"/>
        <v>0</v>
      </c>
      <c r="S22" s="168">
        <f t="shared" si="18"/>
        <v>0</v>
      </c>
      <c r="T22" s="169">
        <f t="shared" si="18"/>
        <v>0</v>
      </c>
      <c r="U22" s="97">
        <f t="shared" si="2"/>
        <v>0</v>
      </c>
      <c r="V22" s="97">
        <f t="shared" si="3"/>
        <v>0</v>
      </c>
      <c r="W22" s="97">
        <f t="shared" si="4"/>
        <v>0</v>
      </c>
      <c r="X22" s="97">
        <f t="shared" si="5"/>
        <v>0</v>
      </c>
      <c r="Y22" s="209"/>
      <c r="Z22" s="210"/>
      <c r="AA22" s="210"/>
      <c r="AB22" s="128">
        <f>IF(AND(D22="Jour férié semaine",((G22-F22)+(I22-H22)+(K22-J22)=0)),VLOOKUP(D22,Systeemgegevens!$J:$K,2,FALSE),0)</f>
        <v>0</v>
      </c>
      <c r="AC22" s="43">
        <f>IF(AND(NOT(ISERROR(FIND("Congé",D22))),ISERROR(FIND("1/2",D22)),ISERROR(FIND("Synd",D22)),ISERROR(FIND("synd",D22)),(G22-F22+I22-H22+K22-J22)=0),VLOOKUP(D22,Systeemgegevens!$J:$K,2,FALSE),IF(AND(NOT(ISERROR(FIND("1/2 Congé + ",D22))),(G22-F22+I22-H22+K22-J22)=0),VLOOKUP(D22,Systeemgegevens!$J:$K,2,FALSE)/2,IF(AND(NOT(ISERROR(FIND("1/2 Congé",D22))),ISERROR(FIND(" + ",D22)),ISERROR(FIND("1/2 Congé Synd.",D22))),VLOOKUP(D22,Systeemgegevens!$J:$K,2,FALSE),0)))</f>
        <v>0</v>
      </c>
      <c r="AD22" s="43">
        <f>IF(AND(OR(D22="1/2 Congé Synd.",D22="Congé Synd."),((G22-F22)+(I22-H22)+(K22-J22)=0)),VLOOKUP(D22,Systeemgegevens!$J:$K,2,FALSE),IF(AND(D22="1/2 Congé + 1/2 synd.",((G22-F22)+(I22-H22)+(K22-J22)=0)),AC22,0))</f>
        <v>0</v>
      </c>
      <c r="AE22" s="43">
        <f>IF(AND(D22="Jour de pont",((G22-F22)+(I22-H22)+(K22-J22)=0)),VLOOKUP(D22,Systeemgegevens!$J:$K,2,FALSE),0)</f>
        <v>0</v>
      </c>
      <c r="AF22" s="43">
        <f>IF(AND(D22="Jour libre 4/5",AND((G22-F22)+(I22-H22)+(K22-J22)=0)),VLOOKUP(D22,Systeemgegevens!$J:$K,2,FALSE),0)</f>
        <v>0</v>
      </c>
      <c r="AG22" s="118">
        <f>IF(AND(D22&lt;&gt;"",SUM(AB22:AF22)=0,D22&lt;&gt;$AB$4,D22&lt;&gt;$AC$4,D22&lt;&gt;$AE$4,D22&lt;&gt;$AF$4),VLOOKUP(D22,Systeemgegevens!$J:$K,2,FALSE),0)</f>
        <v>0</v>
      </c>
      <c r="AH22" s="119">
        <f t="shared" si="6"/>
        <v>0</v>
      </c>
      <c r="AI22" s="101">
        <f t="shared" si="7"/>
        <v>0</v>
      </c>
      <c r="AJ22" s="118">
        <f t="shared" si="19"/>
        <v>0</v>
      </c>
      <c r="AK22" s="119">
        <f t="shared" si="8"/>
        <v>0</v>
      </c>
      <c r="AL22" s="101">
        <f t="shared" si="9"/>
        <v>0</v>
      </c>
      <c r="AM22" s="43">
        <f t="shared" si="20"/>
        <v>0</v>
      </c>
      <c r="AN22" s="118">
        <f t="shared" si="21"/>
        <v>0</v>
      </c>
      <c r="AO22" s="122">
        <f t="shared" si="10"/>
        <v>0</v>
      </c>
      <c r="AP22" s="107">
        <f t="shared" si="11"/>
        <v>0</v>
      </c>
      <c r="AQ22" s="107">
        <f t="shared" si="12"/>
        <v>0</v>
      </c>
      <c r="AR22" s="123">
        <f t="shared" si="13"/>
        <v>0</v>
      </c>
      <c r="AS22" s="124">
        <f t="shared" si="14"/>
        <v>0</v>
      </c>
      <c r="AT22" s="124">
        <f t="shared" si="15"/>
        <v>0</v>
      </c>
      <c r="AU22" s="124">
        <f t="shared" si="16"/>
        <v>0</v>
      </c>
      <c r="AV22" s="117" t="s">
        <v>23</v>
      </c>
      <c r="AW22" s="291">
        <f>IF(($R$41=AV22)*AND($R$42&lt;&gt;""),VLOOKUP($R$42,'Barèmes police'!$AR$4:$AS$30,2),0)</f>
        <v>0</v>
      </c>
      <c r="AX22" s="16" t="str">
        <f>IF('Types de jours'!F28&lt;&gt;"",'Types de jours'!F28,"")</f>
        <v/>
      </c>
      <c r="AY22" s="144" t="str">
        <f>IF(AX22&lt;&gt;"",'Types de jours'!I28,"")</f>
        <v/>
      </c>
      <c r="AZ22" s="269"/>
      <c r="BA22" s="154"/>
      <c r="BB22" s="154"/>
      <c r="BC22" s="154"/>
      <c r="BD22" s="154"/>
      <c r="BE22" s="154"/>
      <c r="BF22" s="154"/>
    </row>
    <row r="23" spans="1:58" ht="12.75" customHeight="1" x14ac:dyDescent="0.2">
      <c r="A23" s="34"/>
      <c r="B23" s="24" t="str">
        <f t="shared" si="0"/>
        <v>Ma</v>
      </c>
      <c r="C23" s="25">
        <f t="shared" si="22"/>
        <v>45307</v>
      </c>
      <c r="D23" s="51"/>
      <c r="E23" s="116"/>
      <c r="F23" s="52"/>
      <c r="G23" s="53"/>
      <c r="H23" s="52"/>
      <c r="I23" s="53"/>
      <c r="J23" s="54"/>
      <c r="K23" s="55"/>
      <c r="L23" s="40">
        <f t="shared" si="1"/>
        <v>0</v>
      </c>
      <c r="M23" s="41">
        <f t="shared" si="23"/>
        <v>0.31666666666666665</v>
      </c>
      <c r="N23" s="42">
        <f>IF(AND(D23&lt;&gt;"Jour libre 4/5",B23&lt;&gt;"Sa",B23&lt;&gt;"Di"),SUM(N22,Configuration!$H$41),SUM(N22))</f>
        <v>3.7999999999999989</v>
      </c>
      <c r="O23" s="49" t="str">
        <f t="shared" si="24"/>
        <v>-</v>
      </c>
      <c r="P23" s="143">
        <f t="shared" si="17"/>
        <v>3.4833333333333325</v>
      </c>
      <c r="Q23" s="167">
        <f t="shared" si="18"/>
        <v>0</v>
      </c>
      <c r="R23" s="168">
        <f t="shared" si="18"/>
        <v>0</v>
      </c>
      <c r="S23" s="168">
        <f t="shared" si="18"/>
        <v>0</v>
      </c>
      <c r="T23" s="169">
        <f t="shared" si="18"/>
        <v>0</v>
      </c>
      <c r="U23" s="97">
        <f t="shared" si="2"/>
        <v>0</v>
      </c>
      <c r="V23" s="97">
        <f t="shared" si="3"/>
        <v>0</v>
      </c>
      <c r="W23" s="97">
        <f t="shared" si="4"/>
        <v>0</v>
      </c>
      <c r="X23" s="97">
        <f t="shared" si="5"/>
        <v>0</v>
      </c>
      <c r="Y23" s="209"/>
      <c r="Z23" s="210"/>
      <c r="AA23" s="210"/>
      <c r="AB23" s="128">
        <f>IF(AND(D23="Jour férié semaine",((G23-F23)+(I23-H23)+(K23-J23)=0)),VLOOKUP(D23,Systeemgegevens!$J:$K,2,FALSE),0)</f>
        <v>0</v>
      </c>
      <c r="AC23" s="43">
        <f>IF(AND(NOT(ISERROR(FIND("Congé",D23))),ISERROR(FIND("1/2",D23)),ISERROR(FIND("Synd",D23)),ISERROR(FIND("synd",D23)),(G23-F23+I23-H23+K23-J23)=0),VLOOKUP(D23,Systeemgegevens!$J:$K,2,FALSE),IF(AND(NOT(ISERROR(FIND("1/2 Congé + ",D23))),(G23-F23+I23-H23+K23-J23)=0),VLOOKUP(D23,Systeemgegevens!$J:$K,2,FALSE)/2,IF(AND(NOT(ISERROR(FIND("1/2 Congé",D23))),ISERROR(FIND(" + ",D23)),ISERROR(FIND("1/2 Congé Synd.",D23))),VLOOKUP(D23,Systeemgegevens!$J:$K,2,FALSE),0)))</f>
        <v>0</v>
      </c>
      <c r="AD23" s="43">
        <f>IF(AND(OR(D23="1/2 Congé Synd.",D23="Congé Synd."),((G23-F23)+(I23-H23)+(K23-J23)=0)),VLOOKUP(D23,Systeemgegevens!$J:$K,2,FALSE),IF(AND(D23="1/2 Congé + 1/2 synd.",((G23-F23)+(I23-H23)+(K23-J23)=0)),AC23,0))</f>
        <v>0</v>
      </c>
      <c r="AE23" s="43">
        <f>IF(AND(D23="Jour de pont",((G23-F23)+(I23-H23)+(K23-J23)=0)),VLOOKUP(D23,Systeemgegevens!$J:$K,2,FALSE),0)</f>
        <v>0</v>
      </c>
      <c r="AF23" s="43">
        <f>IF(AND(D23="Jour libre 4/5",AND((G23-F23)+(I23-H23)+(K23-J23)=0)),VLOOKUP(D23,Systeemgegevens!$J:$K,2,FALSE),0)</f>
        <v>0</v>
      </c>
      <c r="AG23" s="118">
        <f>IF(AND(D23&lt;&gt;"",SUM(AB23:AF23)=0,D23&lt;&gt;$AB$4,D23&lt;&gt;$AC$4,D23&lt;&gt;$AE$4,D23&lt;&gt;$AF$4),VLOOKUP(D23,Systeemgegevens!$J:$K,2,FALSE),0)</f>
        <v>0</v>
      </c>
      <c r="AH23" s="119">
        <f t="shared" si="6"/>
        <v>0</v>
      </c>
      <c r="AI23" s="101">
        <f t="shared" si="7"/>
        <v>0</v>
      </c>
      <c r="AJ23" s="118">
        <f t="shared" si="19"/>
        <v>0</v>
      </c>
      <c r="AK23" s="119">
        <f t="shared" si="8"/>
        <v>0</v>
      </c>
      <c r="AL23" s="101">
        <f t="shared" si="9"/>
        <v>0</v>
      </c>
      <c r="AM23" s="43">
        <f t="shared" si="20"/>
        <v>0</v>
      </c>
      <c r="AN23" s="118">
        <f t="shared" si="21"/>
        <v>0</v>
      </c>
      <c r="AO23" s="122">
        <f t="shared" si="10"/>
        <v>0</v>
      </c>
      <c r="AP23" s="107">
        <f t="shared" si="11"/>
        <v>0</v>
      </c>
      <c r="AQ23" s="107">
        <f t="shared" si="12"/>
        <v>0</v>
      </c>
      <c r="AR23" s="123">
        <f t="shared" si="13"/>
        <v>0</v>
      </c>
      <c r="AS23" s="124">
        <f t="shared" si="14"/>
        <v>0</v>
      </c>
      <c r="AT23" s="124">
        <f t="shared" si="15"/>
        <v>0</v>
      </c>
      <c r="AU23" s="124">
        <f t="shared" si="16"/>
        <v>0</v>
      </c>
      <c r="AV23" s="117" t="s">
        <v>22</v>
      </c>
      <c r="AW23" s="291">
        <f>IF(($R$41=AV23)*AND($R$42&lt;&gt;""),VLOOKUP($R$42,'Barèmes police'!$AU$4:$AV$34,2),0)</f>
        <v>0</v>
      </c>
      <c r="AX23" s="16" t="str">
        <f>IF('Types de jours'!F29&lt;&gt;"",'Types de jours'!F29,"")</f>
        <v/>
      </c>
      <c r="AY23" s="144" t="str">
        <f>IF(AX23&lt;&gt;"",'Types de jours'!I29,"")</f>
        <v/>
      </c>
      <c r="AZ23" s="269"/>
      <c r="BA23" s="154"/>
      <c r="BB23" s="154"/>
      <c r="BC23" s="154"/>
      <c r="BD23" s="154"/>
      <c r="BE23" s="154"/>
      <c r="BF23" s="154"/>
    </row>
    <row r="24" spans="1:58" ht="12.75" customHeight="1" x14ac:dyDescent="0.2">
      <c r="A24" s="34"/>
      <c r="B24" s="24" t="str">
        <f t="shared" si="0"/>
        <v>Me</v>
      </c>
      <c r="C24" s="25">
        <f t="shared" si="22"/>
        <v>45308</v>
      </c>
      <c r="D24" s="51"/>
      <c r="E24" s="116"/>
      <c r="F24" s="52"/>
      <c r="G24" s="53"/>
      <c r="H24" s="52"/>
      <c r="I24" s="53"/>
      <c r="J24" s="54"/>
      <c r="K24" s="55"/>
      <c r="L24" s="40">
        <f t="shared" si="1"/>
        <v>0</v>
      </c>
      <c r="M24" s="41">
        <f t="shared" si="23"/>
        <v>0.31666666666666665</v>
      </c>
      <c r="N24" s="42">
        <f>IF(AND(D24&lt;&gt;"Jour libre 4/5",B24&lt;&gt;"Sa",B24&lt;&gt;"Di"),SUM(N23,Configuration!$H$41),SUM(N23))</f>
        <v>4.1166666666666654</v>
      </c>
      <c r="O24" s="49" t="str">
        <f t="shared" si="24"/>
        <v>-</v>
      </c>
      <c r="P24" s="143">
        <f t="shared" si="17"/>
        <v>3.7999999999999989</v>
      </c>
      <c r="Q24" s="167">
        <f t="shared" si="18"/>
        <v>0</v>
      </c>
      <c r="R24" s="168">
        <f t="shared" si="18"/>
        <v>0</v>
      </c>
      <c r="S24" s="168">
        <f t="shared" si="18"/>
        <v>0</v>
      </c>
      <c r="T24" s="169">
        <f t="shared" si="18"/>
        <v>0</v>
      </c>
      <c r="U24" s="97">
        <f t="shared" si="2"/>
        <v>0</v>
      </c>
      <c r="V24" s="97">
        <f t="shared" si="3"/>
        <v>0</v>
      </c>
      <c r="W24" s="97">
        <f t="shared" si="4"/>
        <v>0</v>
      </c>
      <c r="X24" s="97">
        <f t="shared" si="5"/>
        <v>0</v>
      </c>
      <c r="Y24" s="209"/>
      <c r="Z24" s="210"/>
      <c r="AA24" s="210"/>
      <c r="AB24" s="128">
        <f>IF(AND(D24="Jour férié semaine",((G24-F24)+(I24-H24)+(K24-J24)=0)),VLOOKUP(D24,Systeemgegevens!$J:$K,2,FALSE),0)</f>
        <v>0</v>
      </c>
      <c r="AC24" s="43">
        <f>IF(AND(NOT(ISERROR(FIND("Congé",D24))),ISERROR(FIND("1/2",D24)),ISERROR(FIND("Synd",D24)),ISERROR(FIND("synd",D24)),(G24-F24+I24-H24+K24-J24)=0),VLOOKUP(D24,Systeemgegevens!$J:$K,2,FALSE),IF(AND(NOT(ISERROR(FIND("1/2 Congé + ",D24))),(G24-F24+I24-H24+K24-J24)=0),VLOOKUP(D24,Systeemgegevens!$J:$K,2,FALSE)/2,IF(AND(NOT(ISERROR(FIND("1/2 Congé",D24))),ISERROR(FIND(" + ",D24)),ISERROR(FIND("1/2 Congé Synd.",D24))),VLOOKUP(D24,Systeemgegevens!$J:$K,2,FALSE),0)))</f>
        <v>0</v>
      </c>
      <c r="AD24" s="43">
        <f>IF(AND(OR(D24="1/2 Congé Synd.",D24="Congé Synd."),((G24-F24)+(I24-H24)+(K24-J24)=0)),VLOOKUP(D24,Systeemgegevens!$J:$K,2,FALSE),IF(AND(D24="1/2 Congé + 1/2 synd.",((G24-F24)+(I24-H24)+(K24-J24)=0)),AC24,0))</f>
        <v>0</v>
      </c>
      <c r="AE24" s="43">
        <f>IF(AND(D24="Jour de pont",((G24-F24)+(I24-H24)+(K24-J24)=0)),VLOOKUP(D24,Systeemgegevens!$J:$K,2,FALSE),0)</f>
        <v>0</v>
      </c>
      <c r="AF24" s="43">
        <f>IF(AND(D24="Jour libre 4/5",AND((G24-F24)+(I24-H24)+(K24-J24)=0)),VLOOKUP(D24,Systeemgegevens!$J:$K,2,FALSE),0)</f>
        <v>0</v>
      </c>
      <c r="AG24" s="118">
        <f>IF(AND(D24&lt;&gt;"",SUM(AB24:AF24)=0,D24&lt;&gt;$AB$4,D24&lt;&gt;$AC$4,D24&lt;&gt;$AE$4,D24&lt;&gt;$AF$4),VLOOKUP(D24,Systeemgegevens!$J:$K,2,FALSE),0)</f>
        <v>0</v>
      </c>
      <c r="AH24" s="119">
        <f t="shared" si="6"/>
        <v>0</v>
      </c>
      <c r="AI24" s="101">
        <f t="shared" si="7"/>
        <v>0</v>
      </c>
      <c r="AJ24" s="118">
        <f t="shared" si="19"/>
        <v>0</v>
      </c>
      <c r="AK24" s="119">
        <f t="shared" si="8"/>
        <v>0</v>
      </c>
      <c r="AL24" s="101">
        <f t="shared" si="9"/>
        <v>0</v>
      </c>
      <c r="AM24" s="43">
        <f t="shared" si="20"/>
        <v>0</v>
      </c>
      <c r="AN24" s="118">
        <f t="shared" si="21"/>
        <v>0</v>
      </c>
      <c r="AO24" s="122">
        <f t="shared" si="10"/>
        <v>0</v>
      </c>
      <c r="AP24" s="107">
        <f t="shared" si="11"/>
        <v>0</v>
      </c>
      <c r="AQ24" s="107">
        <f t="shared" si="12"/>
        <v>0</v>
      </c>
      <c r="AR24" s="123">
        <f t="shared" si="13"/>
        <v>0</v>
      </c>
      <c r="AS24" s="124">
        <f t="shared" si="14"/>
        <v>0</v>
      </c>
      <c r="AT24" s="124">
        <f t="shared" si="15"/>
        <v>0</v>
      </c>
      <c r="AU24" s="124">
        <f t="shared" si="16"/>
        <v>0</v>
      </c>
      <c r="AV24" s="117" t="s">
        <v>21</v>
      </c>
      <c r="AW24" s="291">
        <f>IF(($R$41=AV24)*AND($R$42&lt;&gt;""),VLOOKUP($R$42,'Barèmes police'!$AX$4:$AY$30,2),0)</f>
        <v>0</v>
      </c>
      <c r="AX24" s="16" t="str">
        <f>IF('Types de jours'!F30&lt;&gt;"",'Types de jours'!F30,"")</f>
        <v/>
      </c>
      <c r="AY24" s="144" t="str">
        <f>IF(AX24&lt;&gt;"",'Types de jours'!I30,"")</f>
        <v/>
      </c>
      <c r="AZ24" s="269"/>
      <c r="BA24" s="154"/>
      <c r="BB24" s="154"/>
      <c r="BC24" s="154"/>
      <c r="BD24" s="154"/>
      <c r="BE24" s="154"/>
      <c r="BF24" s="154"/>
    </row>
    <row r="25" spans="1:58" ht="12.75" customHeight="1" x14ac:dyDescent="0.2">
      <c r="A25" s="34"/>
      <c r="B25" s="24" t="str">
        <f t="shared" si="0"/>
        <v>Je</v>
      </c>
      <c r="C25" s="25">
        <f t="shared" si="22"/>
        <v>45309</v>
      </c>
      <c r="D25" s="51"/>
      <c r="E25" s="116"/>
      <c r="F25" s="52"/>
      <c r="G25" s="53"/>
      <c r="H25" s="52"/>
      <c r="I25" s="53"/>
      <c r="J25" s="54"/>
      <c r="K25" s="55"/>
      <c r="L25" s="40">
        <f t="shared" si="1"/>
        <v>0</v>
      </c>
      <c r="M25" s="41">
        <f t="shared" si="23"/>
        <v>0.31666666666666665</v>
      </c>
      <c r="N25" s="42">
        <f>IF(AND(D25&lt;&gt;"Jour libre 4/5",B25&lt;&gt;"Sa",B25&lt;&gt;"Di"),SUM(N24,Configuration!$H$41),SUM(N24))</f>
        <v>4.4333333333333318</v>
      </c>
      <c r="O25" s="49" t="str">
        <f t="shared" si="24"/>
        <v>-</v>
      </c>
      <c r="P25" s="143">
        <f t="shared" si="17"/>
        <v>4.1166666666666654</v>
      </c>
      <c r="Q25" s="167">
        <f t="shared" si="18"/>
        <v>0</v>
      </c>
      <c r="R25" s="168">
        <f t="shared" si="18"/>
        <v>0</v>
      </c>
      <c r="S25" s="168">
        <f t="shared" si="18"/>
        <v>0</v>
      </c>
      <c r="T25" s="169">
        <f t="shared" si="18"/>
        <v>0</v>
      </c>
      <c r="U25" s="97">
        <f t="shared" si="2"/>
        <v>0</v>
      </c>
      <c r="V25" s="97">
        <f t="shared" si="3"/>
        <v>0</v>
      </c>
      <c r="W25" s="97">
        <f t="shared" si="4"/>
        <v>0</v>
      </c>
      <c r="X25" s="97">
        <f t="shared" si="5"/>
        <v>0</v>
      </c>
      <c r="Y25" s="209"/>
      <c r="Z25" s="210"/>
      <c r="AA25" s="210"/>
      <c r="AB25" s="128">
        <f>IF(AND(D25="Jour férié semaine",((G25-F25)+(I25-H25)+(K25-J25)=0)),VLOOKUP(D25,Systeemgegevens!$J:$K,2,FALSE),0)</f>
        <v>0</v>
      </c>
      <c r="AC25" s="43">
        <f>IF(AND(NOT(ISERROR(FIND("Congé",D25))),ISERROR(FIND("1/2",D25)),ISERROR(FIND("Synd",D25)),ISERROR(FIND("synd",D25)),(G25-F25+I25-H25+K25-J25)=0),VLOOKUP(D25,Systeemgegevens!$J:$K,2,FALSE),IF(AND(NOT(ISERROR(FIND("1/2 Congé + ",D25))),(G25-F25+I25-H25+K25-J25)=0),VLOOKUP(D25,Systeemgegevens!$J:$K,2,FALSE)/2,IF(AND(NOT(ISERROR(FIND("1/2 Congé",D25))),ISERROR(FIND(" + ",D25)),ISERROR(FIND("1/2 Congé Synd.",D25))),VLOOKUP(D25,Systeemgegevens!$J:$K,2,FALSE),0)))</f>
        <v>0</v>
      </c>
      <c r="AD25" s="43">
        <f>IF(AND(OR(D25="1/2 Congé Synd.",D25="Congé Synd."),((G25-F25)+(I25-H25)+(K25-J25)=0)),VLOOKUP(D25,Systeemgegevens!$J:$K,2,FALSE),IF(AND(D25="1/2 Congé + 1/2 synd.",((G25-F25)+(I25-H25)+(K25-J25)=0)),AC25,0))</f>
        <v>0</v>
      </c>
      <c r="AE25" s="43">
        <f>IF(AND(D25="Jour de pont",((G25-F25)+(I25-H25)+(K25-J25)=0)),VLOOKUP(D25,Systeemgegevens!$J:$K,2,FALSE),0)</f>
        <v>0</v>
      </c>
      <c r="AF25" s="43">
        <f>IF(AND(D25="Jour libre 4/5",AND((G25-F25)+(I25-H25)+(K25-J25)=0)),VLOOKUP(D25,Systeemgegevens!$J:$K,2,FALSE),0)</f>
        <v>0</v>
      </c>
      <c r="AG25" s="118">
        <f>IF(AND(D25&lt;&gt;"",SUM(AB25:AF25)=0,D25&lt;&gt;$AB$4,D25&lt;&gt;$AC$4,D25&lt;&gt;$AE$4,D25&lt;&gt;$AF$4),VLOOKUP(D25,Systeemgegevens!$J:$K,2,FALSE),0)</f>
        <v>0</v>
      </c>
      <c r="AH25" s="119">
        <f t="shared" si="6"/>
        <v>0</v>
      </c>
      <c r="AI25" s="101">
        <f t="shared" si="7"/>
        <v>0</v>
      </c>
      <c r="AJ25" s="118">
        <f t="shared" si="19"/>
        <v>0</v>
      </c>
      <c r="AK25" s="119">
        <f t="shared" si="8"/>
        <v>0</v>
      </c>
      <c r="AL25" s="101">
        <f t="shared" si="9"/>
        <v>0</v>
      </c>
      <c r="AM25" s="43">
        <f t="shared" si="20"/>
        <v>0</v>
      </c>
      <c r="AN25" s="118">
        <f t="shared" si="21"/>
        <v>0</v>
      </c>
      <c r="AO25" s="122">
        <f t="shared" si="10"/>
        <v>0</v>
      </c>
      <c r="AP25" s="107">
        <f t="shared" si="11"/>
        <v>0</v>
      </c>
      <c r="AQ25" s="107">
        <f t="shared" si="12"/>
        <v>0</v>
      </c>
      <c r="AR25" s="123">
        <f t="shared" si="13"/>
        <v>0</v>
      </c>
      <c r="AS25" s="124">
        <f t="shared" si="14"/>
        <v>0</v>
      </c>
      <c r="AT25" s="124">
        <f t="shared" si="15"/>
        <v>0</v>
      </c>
      <c r="AU25" s="124">
        <f t="shared" si="16"/>
        <v>0</v>
      </c>
      <c r="AV25" s="117" t="s">
        <v>20</v>
      </c>
      <c r="AW25" s="291">
        <f>IF(($R$41=AV25)*AND($R$42&lt;&gt;""),VLOOKUP($R$42,'Barèmes police'!$BA$4:$BB$34,2),0)</f>
        <v>0</v>
      </c>
      <c r="AX25" s="16" t="str">
        <f>IF('Types de jours'!F31&lt;&gt;"",'Types de jours'!F31,"")</f>
        <v/>
      </c>
      <c r="AY25" s="144" t="str">
        <f>IF(AX25&lt;&gt;"",'Types de jours'!I31,"")</f>
        <v/>
      </c>
      <c r="AZ25" s="269"/>
      <c r="BA25" s="154"/>
      <c r="BB25" s="154"/>
      <c r="BC25" s="154"/>
      <c r="BD25" s="154"/>
      <c r="BE25" s="154"/>
      <c r="BF25" s="154"/>
    </row>
    <row r="26" spans="1:58" ht="12.75" customHeight="1" x14ac:dyDescent="0.2">
      <c r="A26" s="34"/>
      <c r="B26" s="24" t="str">
        <f t="shared" si="0"/>
        <v>Ve</v>
      </c>
      <c r="C26" s="25">
        <f t="shared" si="22"/>
        <v>45310</v>
      </c>
      <c r="D26" s="51"/>
      <c r="E26" s="116"/>
      <c r="F26" s="52"/>
      <c r="G26" s="53"/>
      <c r="H26" s="54"/>
      <c r="I26" s="55"/>
      <c r="J26" s="54"/>
      <c r="K26" s="55"/>
      <c r="L26" s="40">
        <f t="shared" si="1"/>
        <v>0</v>
      </c>
      <c r="M26" s="41">
        <f t="shared" si="23"/>
        <v>0.31666666666666665</v>
      </c>
      <c r="N26" s="42">
        <f>IF(AND(D26&lt;&gt;"Jour libre 4/5",B26&lt;&gt;"Sa",B26&lt;&gt;"Di"),SUM(N25,Configuration!$H$41),SUM(N25))</f>
        <v>4.7499999999999982</v>
      </c>
      <c r="O26" s="49" t="str">
        <f t="shared" si="24"/>
        <v>-</v>
      </c>
      <c r="P26" s="143">
        <f t="shared" si="17"/>
        <v>4.4333333333333318</v>
      </c>
      <c r="Q26" s="167">
        <f t="shared" si="18"/>
        <v>0</v>
      </c>
      <c r="R26" s="168">
        <f t="shared" si="18"/>
        <v>0</v>
      </c>
      <c r="S26" s="168">
        <f t="shared" si="18"/>
        <v>0</v>
      </c>
      <c r="T26" s="169">
        <f t="shared" si="18"/>
        <v>0</v>
      </c>
      <c r="U26" s="97">
        <f t="shared" si="2"/>
        <v>0</v>
      </c>
      <c r="V26" s="97">
        <f t="shared" si="3"/>
        <v>0</v>
      </c>
      <c r="W26" s="97">
        <f t="shared" si="4"/>
        <v>0</v>
      </c>
      <c r="X26" s="97">
        <f t="shared" si="5"/>
        <v>0</v>
      </c>
      <c r="Y26" s="209"/>
      <c r="Z26" s="210"/>
      <c r="AA26" s="210"/>
      <c r="AB26" s="128">
        <f>IF(AND(D26="Jour férié semaine",((G26-F26)+(I26-H26)+(K26-J26)=0)),VLOOKUP(D26,Systeemgegevens!$J:$K,2,FALSE),0)</f>
        <v>0</v>
      </c>
      <c r="AC26" s="43">
        <f>IF(AND(NOT(ISERROR(FIND("Congé",D26))),ISERROR(FIND("1/2",D26)),ISERROR(FIND("Synd",D26)),ISERROR(FIND("synd",D26)),(G26-F26+I26-H26+K26-J26)=0),VLOOKUP(D26,Systeemgegevens!$J:$K,2,FALSE),IF(AND(NOT(ISERROR(FIND("1/2 Congé + ",D26))),(G26-F26+I26-H26+K26-J26)=0),VLOOKUP(D26,Systeemgegevens!$J:$K,2,FALSE)/2,IF(AND(NOT(ISERROR(FIND("1/2 Congé",D26))),ISERROR(FIND(" + ",D26)),ISERROR(FIND("1/2 Congé Synd.",D26))),VLOOKUP(D26,Systeemgegevens!$J:$K,2,FALSE),0)))</f>
        <v>0</v>
      </c>
      <c r="AD26" s="43">
        <f>IF(AND(OR(D26="1/2 Congé Synd.",D26="Congé Synd."),((G26-F26)+(I26-H26)+(K26-J26)=0)),VLOOKUP(D26,Systeemgegevens!$J:$K,2,FALSE),IF(AND(D26="1/2 Congé + 1/2 synd.",((G26-F26)+(I26-H26)+(K26-J26)=0)),AC26,0))</f>
        <v>0</v>
      </c>
      <c r="AE26" s="43">
        <f>IF(AND(D26="Jour de pont",((G26-F26)+(I26-H26)+(K26-J26)=0)),VLOOKUP(D26,Systeemgegevens!$J:$K,2,FALSE),0)</f>
        <v>0</v>
      </c>
      <c r="AF26" s="43">
        <f>IF(AND(D26="Jour libre 4/5",AND((G26-F26)+(I26-H26)+(K26-J26)=0)),VLOOKUP(D26,Systeemgegevens!$J:$K,2,FALSE),0)</f>
        <v>0</v>
      </c>
      <c r="AG26" s="118">
        <f>IF(AND(D26&lt;&gt;"",SUM(AB26:AF26)=0,D26&lt;&gt;$AB$4,D26&lt;&gt;$AC$4,D26&lt;&gt;$AE$4,D26&lt;&gt;$AF$4),VLOOKUP(D26,Systeemgegevens!$J:$K,2,FALSE),0)</f>
        <v>0</v>
      </c>
      <c r="AH26" s="119">
        <f t="shared" si="6"/>
        <v>0</v>
      </c>
      <c r="AI26" s="101">
        <f t="shared" si="7"/>
        <v>0</v>
      </c>
      <c r="AJ26" s="118">
        <f t="shared" si="19"/>
        <v>0</v>
      </c>
      <c r="AK26" s="119">
        <f t="shared" si="8"/>
        <v>0</v>
      </c>
      <c r="AL26" s="101">
        <f t="shared" si="9"/>
        <v>0</v>
      </c>
      <c r="AM26" s="43">
        <f t="shared" si="20"/>
        <v>0</v>
      </c>
      <c r="AN26" s="118">
        <f t="shared" si="21"/>
        <v>0</v>
      </c>
      <c r="AO26" s="122">
        <f t="shared" si="10"/>
        <v>0</v>
      </c>
      <c r="AP26" s="107">
        <f t="shared" si="11"/>
        <v>0</v>
      </c>
      <c r="AQ26" s="107">
        <f t="shared" si="12"/>
        <v>0</v>
      </c>
      <c r="AR26" s="123">
        <f t="shared" si="13"/>
        <v>0</v>
      </c>
      <c r="AS26" s="124">
        <f t="shared" si="14"/>
        <v>0</v>
      </c>
      <c r="AT26" s="124">
        <f t="shared" si="15"/>
        <v>0</v>
      </c>
      <c r="AU26" s="124">
        <f t="shared" si="16"/>
        <v>0</v>
      </c>
      <c r="AV26" s="117" t="s">
        <v>19</v>
      </c>
      <c r="AW26" s="291">
        <f>IF(($R$41=AV26)*AND($R$42&lt;&gt;""),VLOOKUP($R$42,'Barèmes police'!$BD$4:$BE$30,2),0)</f>
        <v>0</v>
      </c>
      <c r="AX26" s="16" t="str">
        <f>IF('Types de jours'!F32&lt;&gt;"",'Types de jours'!F32,"")</f>
        <v/>
      </c>
      <c r="AY26" s="144" t="str">
        <f>IF(AX26&lt;&gt;"",'Types de jours'!I32,"")</f>
        <v/>
      </c>
      <c r="AZ26" s="269"/>
      <c r="BA26" s="154"/>
      <c r="BB26" s="154"/>
      <c r="BC26" s="154"/>
      <c r="BD26" s="154"/>
      <c r="BE26" s="154"/>
      <c r="BF26" s="154"/>
    </row>
    <row r="27" spans="1:58" ht="12.75" customHeight="1" x14ac:dyDescent="0.2">
      <c r="A27" s="34"/>
      <c r="B27" s="24" t="str">
        <f t="shared" si="0"/>
        <v>Sa</v>
      </c>
      <c r="C27" s="25">
        <f t="shared" si="22"/>
        <v>45311</v>
      </c>
      <c r="D27" s="51"/>
      <c r="E27" s="116"/>
      <c r="F27" s="52"/>
      <c r="G27" s="53"/>
      <c r="H27" s="54"/>
      <c r="I27" s="55"/>
      <c r="J27" s="54"/>
      <c r="K27" s="55"/>
      <c r="L27" s="40">
        <f t="shared" si="1"/>
        <v>0</v>
      </c>
      <c r="M27" s="41">
        <f t="shared" si="23"/>
        <v>0.31666666666666665</v>
      </c>
      <c r="N27" s="42">
        <f>IF(AND(D27&lt;&gt;"Jour libre 4/5",B27&lt;&gt;"Sa",B27&lt;&gt;"Di"),SUM(N26,Configuration!$H$41),SUM(N26))</f>
        <v>4.7499999999999982</v>
      </c>
      <c r="O27" s="49" t="str">
        <f t="shared" si="24"/>
        <v>-</v>
      </c>
      <c r="P27" s="143">
        <f t="shared" si="17"/>
        <v>4.4333333333333318</v>
      </c>
      <c r="Q27" s="167">
        <f t="shared" si="18"/>
        <v>0</v>
      </c>
      <c r="R27" s="168">
        <f t="shared" si="18"/>
        <v>0</v>
      </c>
      <c r="S27" s="168">
        <f t="shared" si="18"/>
        <v>0</v>
      </c>
      <c r="T27" s="169">
        <f t="shared" si="18"/>
        <v>0</v>
      </c>
      <c r="U27" s="97">
        <f t="shared" si="2"/>
        <v>0</v>
      </c>
      <c r="V27" s="97">
        <f t="shared" si="3"/>
        <v>0</v>
      </c>
      <c r="W27" s="97">
        <f t="shared" si="4"/>
        <v>0</v>
      </c>
      <c r="X27" s="97">
        <f t="shared" si="5"/>
        <v>0</v>
      </c>
      <c r="Y27" s="209"/>
      <c r="Z27" s="210"/>
      <c r="AA27" s="210"/>
      <c r="AB27" s="128">
        <f>IF(AND(D27="Jour férié semaine",((G27-F27)+(I27-H27)+(K27-J27)=0)),VLOOKUP(D27,Systeemgegevens!$J:$K,2,FALSE),0)</f>
        <v>0</v>
      </c>
      <c r="AC27" s="43">
        <f>IF(AND(NOT(ISERROR(FIND("Congé",D27))),ISERROR(FIND("1/2",D27)),ISERROR(FIND("Synd",D27)),ISERROR(FIND("synd",D27)),(G27-F27+I27-H27+K27-J27)=0),VLOOKUP(D27,Systeemgegevens!$J:$K,2,FALSE),IF(AND(NOT(ISERROR(FIND("1/2 Congé + ",D27))),(G27-F27+I27-H27+K27-J27)=0),VLOOKUP(D27,Systeemgegevens!$J:$K,2,FALSE)/2,IF(AND(NOT(ISERROR(FIND("1/2 Congé",D27))),ISERROR(FIND(" + ",D27)),ISERROR(FIND("1/2 Congé Synd.",D27))),VLOOKUP(D27,Systeemgegevens!$J:$K,2,FALSE),0)))</f>
        <v>0</v>
      </c>
      <c r="AD27" s="43">
        <f>IF(AND(OR(D27="1/2 Congé Synd.",D27="Congé Synd."),((G27-F27)+(I27-H27)+(K27-J27)=0)),VLOOKUP(D27,Systeemgegevens!$J:$K,2,FALSE),IF(AND(D27="1/2 Congé + 1/2 synd.",((G27-F27)+(I27-H27)+(K27-J27)=0)),AC27,0))</f>
        <v>0</v>
      </c>
      <c r="AE27" s="43">
        <f>IF(AND(D27="Jour de pont",((G27-F27)+(I27-H27)+(K27-J27)=0)),VLOOKUP(D27,Systeemgegevens!$J:$K,2,FALSE),0)</f>
        <v>0</v>
      </c>
      <c r="AF27" s="43">
        <f>IF(AND(D27="Jour libre 4/5",AND((G27-F27)+(I27-H27)+(K27-J27)=0)),VLOOKUP(D27,Systeemgegevens!$J:$K,2,FALSE),0)</f>
        <v>0</v>
      </c>
      <c r="AG27" s="118">
        <f>IF(AND(D27&lt;&gt;"",SUM(AB27:AF27)=0,D27&lt;&gt;$AB$4,D27&lt;&gt;$AC$4,D27&lt;&gt;$AE$4,D27&lt;&gt;$AF$4),VLOOKUP(D27,Systeemgegevens!$J:$K,2,FALSE),0)</f>
        <v>0</v>
      </c>
      <c r="AH27" s="119">
        <f t="shared" si="6"/>
        <v>0</v>
      </c>
      <c r="AI27" s="101">
        <f t="shared" si="7"/>
        <v>0</v>
      </c>
      <c r="AJ27" s="118">
        <f t="shared" si="19"/>
        <v>0</v>
      </c>
      <c r="AK27" s="119">
        <f t="shared" si="8"/>
        <v>0</v>
      </c>
      <c r="AL27" s="101">
        <f t="shared" si="9"/>
        <v>0</v>
      </c>
      <c r="AM27" s="43">
        <f t="shared" si="20"/>
        <v>0</v>
      </c>
      <c r="AN27" s="118">
        <f t="shared" si="21"/>
        <v>0</v>
      </c>
      <c r="AO27" s="122">
        <f t="shared" si="10"/>
        <v>0</v>
      </c>
      <c r="AP27" s="107">
        <f t="shared" si="11"/>
        <v>0</v>
      </c>
      <c r="AQ27" s="107">
        <f t="shared" si="12"/>
        <v>0</v>
      </c>
      <c r="AR27" s="123">
        <f t="shared" si="13"/>
        <v>0</v>
      </c>
      <c r="AS27" s="124">
        <f t="shared" si="14"/>
        <v>0</v>
      </c>
      <c r="AT27" s="124">
        <f t="shared" si="15"/>
        <v>0</v>
      </c>
      <c r="AU27" s="124">
        <f t="shared" si="16"/>
        <v>0</v>
      </c>
      <c r="AV27" s="117" t="s">
        <v>18</v>
      </c>
      <c r="AW27" s="291">
        <f>IF(($R$41=AV27)*AND($R$42&lt;&gt;""),VLOOKUP($R$42,'Barèmes police'!$BG$4:$BH$30,2),0)</f>
        <v>0</v>
      </c>
      <c r="AX27" s="16" t="str">
        <f>IF('Types de jours'!F33&lt;&gt;"",'Types de jours'!F33,"")</f>
        <v/>
      </c>
      <c r="AY27" s="144" t="str">
        <f>IF(AX27&lt;&gt;"",'Types de jours'!I33,"")</f>
        <v/>
      </c>
      <c r="AZ27" s="269"/>
      <c r="BA27" s="154"/>
      <c r="BB27" s="154"/>
      <c r="BC27" s="154"/>
      <c r="BD27" s="154"/>
      <c r="BE27" s="154"/>
      <c r="BF27" s="154"/>
    </row>
    <row r="28" spans="1:58" ht="12.75" customHeight="1" x14ac:dyDescent="0.2">
      <c r="A28" s="34"/>
      <c r="B28" s="24" t="str">
        <f t="shared" si="0"/>
        <v>Di</v>
      </c>
      <c r="C28" s="25">
        <f t="shared" si="22"/>
        <v>45312</v>
      </c>
      <c r="D28" s="51"/>
      <c r="E28" s="116"/>
      <c r="F28" s="52"/>
      <c r="G28" s="53"/>
      <c r="H28" s="54"/>
      <c r="I28" s="55"/>
      <c r="J28" s="54"/>
      <c r="K28" s="55"/>
      <c r="L28" s="40">
        <f t="shared" si="1"/>
        <v>0</v>
      </c>
      <c r="M28" s="41">
        <f t="shared" si="23"/>
        <v>0.31666666666666665</v>
      </c>
      <c r="N28" s="42">
        <f>IF(AND(D28&lt;&gt;"Jour libre 4/5",B28&lt;&gt;"Sa",B28&lt;&gt;"Di"),SUM(N27,Configuration!$H$41),SUM(N27))</f>
        <v>4.7499999999999982</v>
      </c>
      <c r="O28" s="49" t="str">
        <f t="shared" si="24"/>
        <v>-</v>
      </c>
      <c r="P28" s="143">
        <f t="shared" si="17"/>
        <v>4.4333333333333318</v>
      </c>
      <c r="Q28" s="167">
        <f t="shared" si="18"/>
        <v>0</v>
      </c>
      <c r="R28" s="168">
        <f t="shared" si="18"/>
        <v>0</v>
      </c>
      <c r="S28" s="168">
        <f t="shared" si="18"/>
        <v>0</v>
      </c>
      <c r="T28" s="169">
        <f t="shared" si="18"/>
        <v>0</v>
      </c>
      <c r="U28" s="97">
        <f t="shared" si="2"/>
        <v>0</v>
      </c>
      <c r="V28" s="97">
        <f t="shared" si="3"/>
        <v>0</v>
      </c>
      <c r="W28" s="97">
        <f t="shared" si="4"/>
        <v>0</v>
      </c>
      <c r="X28" s="97">
        <f t="shared" si="5"/>
        <v>0</v>
      </c>
      <c r="Y28" s="209"/>
      <c r="Z28" s="210"/>
      <c r="AA28" s="210"/>
      <c r="AB28" s="128">
        <f>IF(AND(D28="Jour férié semaine",((G28-F28)+(I28-H28)+(K28-J28)=0)),VLOOKUP(D28,Systeemgegevens!$J:$K,2,FALSE),0)</f>
        <v>0</v>
      </c>
      <c r="AC28" s="43">
        <f>IF(AND(NOT(ISERROR(FIND("Congé",D28))),ISERROR(FIND("1/2",D28)),ISERROR(FIND("Synd",D28)),ISERROR(FIND("synd",D28)),(G28-F28+I28-H28+K28-J28)=0),VLOOKUP(D28,Systeemgegevens!$J:$K,2,FALSE),IF(AND(NOT(ISERROR(FIND("1/2 Congé + ",D28))),(G28-F28+I28-H28+K28-J28)=0),VLOOKUP(D28,Systeemgegevens!$J:$K,2,FALSE)/2,IF(AND(NOT(ISERROR(FIND("1/2 Congé",D28))),ISERROR(FIND(" + ",D28)),ISERROR(FIND("1/2 Congé Synd.",D28))),VLOOKUP(D28,Systeemgegevens!$J:$K,2,FALSE),0)))</f>
        <v>0</v>
      </c>
      <c r="AD28" s="43">
        <f>IF(AND(OR(D28="1/2 Congé Synd.",D28="Congé Synd."),((G28-F28)+(I28-H28)+(K28-J28)=0)),VLOOKUP(D28,Systeemgegevens!$J:$K,2,FALSE),IF(AND(D28="1/2 Congé + 1/2 synd.",((G28-F28)+(I28-H28)+(K28-J28)=0)),AC28,0))</f>
        <v>0</v>
      </c>
      <c r="AE28" s="43">
        <f>IF(AND(D28="Jour de pont",((G28-F28)+(I28-H28)+(K28-J28)=0)),VLOOKUP(D28,Systeemgegevens!$J:$K,2,FALSE),0)</f>
        <v>0</v>
      </c>
      <c r="AF28" s="43">
        <f>IF(AND(D28="Jour libre 4/5",AND((G28-F28)+(I28-H28)+(K28-J28)=0)),VLOOKUP(D28,Systeemgegevens!$J:$K,2,FALSE),0)</f>
        <v>0</v>
      </c>
      <c r="AG28" s="118">
        <f>IF(AND(D28&lt;&gt;"",SUM(AB28:AF28)=0,D28&lt;&gt;$AB$4,D28&lt;&gt;$AC$4,D28&lt;&gt;$AE$4,D28&lt;&gt;$AF$4),VLOOKUP(D28,Systeemgegevens!$J:$K,2,FALSE),0)</f>
        <v>0</v>
      </c>
      <c r="AH28" s="119">
        <f t="shared" si="6"/>
        <v>0</v>
      </c>
      <c r="AI28" s="101">
        <f t="shared" si="7"/>
        <v>0</v>
      </c>
      <c r="AJ28" s="118">
        <f t="shared" si="19"/>
        <v>0</v>
      </c>
      <c r="AK28" s="119">
        <f t="shared" si="8"/>
        <v>0</v>
      </c>
      <c r="AL28" s="101">
        <f t="shared" si="9"/>
        <v>0</v>
      </c>
      <c r="AM28" s="43">
        <f t="shared" si="20"/>
        <v>0</v>
      </c>
      <c r="AN28" s="118">
        <f t="shared" si="21"/>
        <v>0</v>
      </c>
      <c r="AO28" s="122">
        <f t="shared" si="10"/>
        <v>0</v>
      </c>
      <c r="AP28" s="107">
        <f t="shared" si="11"/>
        <v>0</v>
      </c>
      <c r="AQ28" s="107">
        <f t="shared" si="12"/>
        <v>0</v>
      </c>
      <c r="AR28" s="123">
        <f t="shared" si="13"/>
        <v>0</v>
      </c>
      <c r="AS28" s="124">
        <f t="shared" si="14"/>
        <v>0</v>
      </c>
      <c r="AT28" s="124">
        <f t="shared" si="15"/>
        <v>0</v>
      </c>
      <c r="AU28" s="124">
        <f t="shared" si="16"/>
        <v>0</v>
      </c>
      <c r="AV28" s="117" t="s">
        <v>17</v>
      </c>
      <c r="AW28" s="291">
        <f>IF(($R$41=AV28)*AND($R$42&lt;&gt;""),VLOOKUP($R$42,'Barèmes police'!$BJ$4:$BK$30,2),0)</f>
        <v>0</v>
      </c>
      <c r="AX28" s="16" t="str">
        <f>IF('Types de jours'!F34&lt;&gt;"",'Types de jours'!F34,"")</f>
        <v/>
      </c>
      <c r="AY28" s="144" t="str">
        <f>IF(AX28&lt;&gt;"",'Types de jours'!I34,"")</f>
        <v/>
      </c>
      <c r="AZ28" s="269"/>
      <c r="BA28" s="154"/>
      <c r="BB28" s="154"/>
      <c r="BC28" s="154"/>
      <c r="BD28" s="154"/>
      <c r="BE28" s="154"/>
      <c r="BF28" s="154"/>
    </row>
    <row r="29" spans="1:58" ht="12.75" customHeight="1" x14ac:dyDescent="0.2">
      <c r="A29" s="34"/>
      <c r="B29" s="24" t="str">
        <f t="shared" si="0"/>
        <v>Lu</v>
      </c>
      <c r="C29" s="25">
        <f t="shared" si="22"/>
        <v>45313</v>
      </c>
      <c r="D29" s="51"/>
      <c r="E29" s="116"/>
      <c r="F29" s="52"/>
      <c r="G29" s="53"/>
      <c r="H29" s="54"/>
      <c r="I29" s="55"/>
      <c r="J29" s="54"/>
      <c r="K29" s="55"/>
      <c r="L29" s="40">
        <f t="shared" si="1"/>
        <v>0</v>
      </c>
      <c r="M29" s="41">
        <f t="shared" si="23"/>
        <v>0.31666666666666665</v>
      </c>
      <c r="N29" s="42">
        <f>IF(AND(D29&lt;&gt;"Jour libre 4/5",B29&lt;&gt;"Sa",B29&lt;&gt;"Di"),SUM(N28,Configuration!$H$41),SUM(N28))</f>
        <v>5.0666666666666647</v>
      </c>
      <c r="O29" s="49" t="str">
        <f t="shared" si="24"/>
        <v>-</v>
      </c>
      <c r="P29" s="143">
        <f t="shared" si="17"/>
        <v>4.7499999999999982</v>
      </c>
      <c r="Q29" s="167">
        <f t="shared" si="18"/>
        <v>0</v>
      </c>
      <c r="R29" s="168">
        <f t="shared" si="18"/>
        <v>0</v>
      </c>
      <c r="S29" s="168">
        <f t="shared" si="18"/>
        <v>0</v>
      </c>
      <c r="T29" s="169">
        <f t="shared" si="18"/>
        <v>0</v>
      </c>
      <c r="U29" s="97">
        <f t="shared" si="2"/>
        <v>0</v>
      </c>
      <c r="V29" s="97">
        <f t="shared" si="3"/>
        <v>0</v>
      </c>
      <c r="W29" s="97">
        <f t="shared" si="4"/>
        <v>0</v>
      </c>
      <c r="X29" s="97">
        <f t="shared" si="5"/>
        <v>0</v>
      </c>
      <c r="Y29" s="209"/>
      <c r="Z29" s="210"/>
      <c r="AA29" s="210"/>
      <c r="AB29" s="128">
        <f>IF(AND(D29="Jour férié semaine",((G29-F29)+(I29-H29)+(K29-J29)=0)),VLOOKUP(D29,Systeemgegevens!$J:$K,2,FALSE),0)</f>
        <v>0</v>
      </c>
      <c r="AC29" s="43">
        <f>IF(AND(NOT(ISERROR(FIND("Congé",D29))),ISERROR(FIND("1/2",D29)),ISERROR(FIND("Synd",D29)),ISERROR(FIND("synd",D29)),(G29-F29+I29-H29+K29-J29)=0),VLOOKUP(D29,Systeemgegevens!$J:$K,2,FALSE),IF(AND(NOT(ISERROR(FIND("1/2 Congé + ",D29))),(G29-F29+I29-H29+K29-J29)=0),VLOOKUP(D29,Systeemgegevens!$J:$K,2,FALSE)/2,IF(AND(NOT(ISERROR(FIND("1/2 Congé",D29))),ISERROR(FIND(" + ",D29)),ISERROR(FIND("1/2 Congé Synd.",D29))),VLOOKUP(D29,Systeemgegevens!$J:$K,2,FALSE),0)))</f>
        <v>0</v>
      </c>
      <c r="AD29" s="43">
        <f>IF(AND(OR(D29="1/2 Congé Synd.",D29="Congé Synd."),((G29-F29)+(I29-H29)+(K29-J29)=0)),VLOOKUP(D29,Systeemgegevens!$J:$K,2,FALSE),IF(AND(D29="1/2 Congé + 1/2 synd.",((G29-F29)+(I29-H29)+(K29-J29)=0)),AC29,0))</f>
        <v>0</v>
      </c>
      <c r="AE29" s="43">
        <f>IF(AND(D29="Jour de pont",((G29-F29)+(I29-H29)+(K29-J29)=0)),VLOOKUP(D29,Systeemgegevens!$J:$K,2,FALSE),0)</f>
        <v>0</v>
      </c>
      <c r="AF29" s="43">
        <f>IF(AND(D29="Jour libre 4/5",AND((G29-F29)+(I29-H29)+(K29-J29)=0)),VLOOKUP(D29,Systeemgegevens!$J:$K,2,FALSE),0)</f>
        <v>0</v>
      </c>
      <c r="AG29" s="118">
        <f>IF(AND(D29&lt;&gt;"",SUM(AB29:AF29)=0,D29&lt;&gt;$AB$4,D29&lt;&gt;$AC$4,D29&lt;&gt;$AE$4,D29&lt;&gt;$AF$4),VLOOKUP(D29,Systeemgegevens!$J:$K,2,FALSE),0)</f>
        <v>0</v>
      </c>
      <c r="AH29" s="119">
        <f t="shared" si="6"/>
        <v>0</v>
      </c>
      <c r="AI29" s="101">
        <f t="shared" si="7"/>
        <v>0</v>
      </c>
      <c r="AJ29" s="118">
        <f t="shared" si="19"/>
        <v>0</v>
      </c>
      <c r="AK29" s="119">
        <f t="shared" si="8"/>
        <v>0</v>
      </c>
      <c r="AL29" s="101">
        <f t="shared" si="9"/>
        <v>0</v>
      </c>
      <c r="AM29" s="43">
        <f t="shared" si="20"/>
        <v>0</v>
      </c>
      <c r="AN29" s="118">
        <f t="shared" si="21"/>
        <v>0</v>
      </c>
      <c r="AO29" s="122">
        <f t="shared" si="10"/>
        <v>0</v>
      </c>
      <c r="AP29" s="107">
        <f t="shared" si="11"/>
        <v>0</v>
      </c>
      <c r="AQ29" s="107">
        <f t="shared" si="12"/>
        <v>0</v>
      </c>
      <c r="AR29" s="123">
        <f t="shared" si="13"/>
        <v>0</v>
      </c>
      <c r="AS29" s="124">
        <f t="shared" si="14"/>
        <v>0</v>
      </c>
      <c r="AT29" s="124">
        <f t="shared" si="15"/>
        <v>0</v>
      </c>
      <c r="AU29" s="124">
        <f t="shared" si="16"/>
        <v>0</v>
      </c>
      <c r="AV29" s="117" t="s">
        <v>16</v>
      </c>
      <c r="AW29" s="291">
        <f>IF(($R$41=AV29)*AND($R$42&lt;&gt;""),VLOOKUP($R$42,'Barèmes police'!$BM$4:$BN$30,2),0)</f>
        <v>0</v>
      </c>
      <c r="AX29" s="145" t="str">
        <f>IF('Types de jours'!F35&lt;&gt;"",'Types de jours'!F35,"")</f>
        <v/>
      </c>
      <c r="AY29" s="146" t="str">
        <f>IF(AX29&lt;&gt;"",'Types de jours'!I35,"")</f>
        <v/>
      </c>
      <c r="AZ29" s="269"/>
      <c r="BA29" s="154"/>
      <c r="BB29" s="154"/>
      <c r="BC29" s="154"/>
      <c r="BD29" s="154"/>
      <c r="BE29" s="154"/>
      <c r="BF29" s="154"/>
    </row>
    <row r="30" spans="1:58" ht="12.75" customHeight="1" x14ac:dyDescent="0.2">
      <c r="A30" s="34"/>
      <c r="B30" s="24" t="str">
        <f t="shared" si="0"/>
        <v>Ma</v>
      </c>
      <c r="C30" s="25">
        <f t="shared" si="22"/>
        <v>45314</v>
      </c>
      <c r="D30" s="51"/>
      <c r="E30" s="116"/>
      <c r="F30" s="52"/>
      <c r="G30" s="53"/>
      <c r="H30" s="54"/>
      <c r="I30" s="55"/>
      <c r="J30" s="54"/>
      <c r="K30" s="55"/>
      <c r="L30" s="40">
        <f t="shared" si="1"/>
        <v>0</v>
      </c>
      <c r="M30" s="41">
        <f t="shared" si="23"/>
        <v>0.31666666666666665</v>
      </c>
      <c r="N30" s="42">
        <f>IF(AND(D30&lt;&gt;"Jour libre 4/5",B30&lt;&gt;"Sa",B30&lt;&gt;"Di"),SUM(N29,Configuration!$H$41),SUM(N29))</f>
        <v>5.3833333333333311</v>
      </c>
      <c r="O30" s="49" t="str">
        <f t="shared" si="24"/>
        <v>-</v>
      </c>
      <c r="P30" s="143">
        <f t="shared" si="17"/>
        <v>5.0666666666666647</v>
      </c>
      <c r="Q30" s="167">
        <f t="shared" si="18"/>
        <v>0</v>
      </c>
      <c r="R30" s="168">
        <f t="shared" si="18"/>
        <v>0</v>
      </c>
      <c r="S30" s="168">
        <f t="shared" si="18"/>
        <v>0</v>
      </c>
      <c r="T30" s="169">
        <f t="shared" si="18"/>
        <v>0</v>
      </c>
      <c r="U30" s="97">
        <f t="shared" si="2"/>
        <v>0</v>
      </c>
      <c r="V30" s="97">
        <f t="shared" si="3"/>
        <v>0</v>
      </c>
      <c r="W30" s="97">
        <f t="shared" si="4"/>
        <v>0</v>
      </c>
      <c r="X30" s="97">
        <f t="shared" si="5"/>
        <v>0</v>
      </c>
      <c r="Y30" s="209"/>
      <c r="Z30" s="210"/>
      <c r="AA30" s="210"/>
      <c r="AB30" s="128">
        <f>IF(AND(D30="Jour férié semaine",((G30-F30)+(I30-H30)+(K30-J30)=0)),VLOOKUP(D30,Systeemgegevens!$J:$K,2,FALSE),0)</f>
        <v>0</v>
      </c>
      <c r="AC30" s="43">
        <f>IF(AND(NOT(ISERROR(FIND("Congé",D30))),ISERROR(FIND("1/2",D30)),ISERROR(FIND("Synd",D30)),ISERROR(FIND("synd",D30)),(G30-F30+I30-H30+K30-J30)=0),VLOOKUP(D30,Systeemgegevens!$J:$K,2,FALSE),IF(AND(NOT(ISERROR(FIND("1/2 Congé + ",D30))),(G30-F30+I30-H30+K30-J30)=0),VLOOKUP(D30,Systeemgegevens!$J:$K,2,FALSE)/2,IF(AND(NOT(ISERROR(FIND("1/2 Congé",D30))),ISERROR(FIND(" + ",D30)),ISERROR(FIND("1/2 Congé Synd.",D30))),VLOOKUP(D30,Systeemgegevens!$J:$K,2,FALSE),0)))</f>
        <v>0</v>
      </c>
      <c r="AD30" s="43">
        <f>IF(AND(OR(D30="1/2 Congé Synd.",D30="Congé Synd."),((G30-F30)+(I30-H30)+(K30-J30)=0)),VLOOKUP(D30,Systeemgegevens!$J:$K,2,FALSE),IF(AND(D30="1/2 Congé + 1/2 synd.",((G30-F30)+(I30-H30)+(K30-J30)=0)),AC30,0))</f>
        <v>0</v>
      </c>
      <c r="AE30" s="43">
        <f>IF(AND(D30="Jour de pont",((G30-F30)+(I30-H30)+(K30-J30)=0)),VLOOKUP(D30,Systeemgegevens!$J:$K,2,FALSE),0)</f>
        <v>0</v>
      </c>
      <c r="AF30" s="43">
        <f>IF(AND(D30="Jour libre 4/5",AND((G30-F30)+(I30-H30)+(K30-J30)=0)),VLOOKUP(D30,Systeemgegevens!$J:$K,2,FALSE),0)</f>
        <v>0</v>
      </c>
      <c r="AG30" s="118">
        <f>IF(AND(D30&lt;&gt;"",SUM(AB30:AF30)=0,D30&lt;&gt;$AB$4,D30&lt;&gt;$AC$4,D30&lt;&gt;$AE$4,D30&lt;&gt;$AF$4),VLOOKUP(D30,Systeemgegevens!$J:$K,2,FALSE),0)</f>
        <v>0</v>
      </c>
      <c r="AH30" s="119">
        <f t="shared" si="6"/>
        <v>0</v>
      </c>
      <c r="AI30" s="101">
        <f t="shared" si="7"/>
        <v>0</v>
      </c>
      <c r="AJ30" s="118">
        <f t="shared" si="19"/>
        <v>0</v>
      </c>
      <c r="AK30" s="119">
        <f t="shared" si="8"/>
        <v>0</v>
      </c>
      <c r="AL30" s="101">
        <f t="shared" si="9"/>
        <v>0</v>
      </c>
      <c r="AM30" s="43">
        <f t="shared" si="20"/>
        <v>0</v>
      </c>
      <c r="AN30" s="118">
        <f t="shared" si="21"/>
        <v>0</v>
      </c>
      <c r="AO30" s="122">
        <f t="shared" si="10"/>
        <v>0</v>
      </c>
      <c r="AP30" s="107">
        <f t="shared" si="11"/>
        <v>0</v>
      </c>
      <c r="AQ30" s="107">
        <f t="shared" si="12"/>
        <v>0</v>
      </c>
      <c r="AR30" s="123">
        <f t="shared" si="13"/>
        <v>0</v>
      </c>
      <c r="AS30" s="124">
        <f t="shared" si="14"/>
        <v>0</v>
      </c>
      <c r="AT30" s="124">
        <f t="shared" si="15"/>
        <v>0</v>
      </c>
      <c r="AU30" s="124">
        <f t="shared" si="16"/>
        <v>0</v>
      </c>
      <c r="AV30" s="117" t="s">
        <v>14</v>
      </c>
      <c r="AW30" s="291">
        <f>IF(($R$41=AV30)*AND($R$42&lt;&gt;""),VLOOKUP($R$42,'Barèmes police'!$B$40:$C$66,2),0)</f>
        <v>0</v>
      </c>
      <c r="AX30" s="129"/>
      <c r="AY30" s="129"/>
      <c r="AZ30" s="154"/>
      <c r="BA30" s="154"/>
      <c r="BB30" s="154"/>
      <c r="BC30" s="154"/>
      <c r="BD30" s="154"/>
      <c r="BE30" s="154"/>
      <c r="BF30" s="154"/>
    </row>
    <row r="31" spans="1:58" ht="12.75" customHeight="1" x14ac:dyDescent="0.2">
      <c r="A31" s="34"/>
      <c r="B31" s="24" t="str">
        <f t="shared" si="0"/>
        <v>Me</v>
      </c>
      <c r="C31" s="25">
        <f t="shared" si="22"/>
        <v>45315</v>
      </c>
      <c r="D31" s="51"/>
      <c r="E31" s="116"/>
      <c r="F31" s="52"/>
      <c r="G31" s="53"/>
      <c r="H31" s="52"/>
      <c r="I31" s="53"/>
      <c r="J31" s="54"/>
      <c r="K31" s="55"/>
      <c r="L31" s="40">
        <f t="shared" si="1"/>
        <v>0</v>
      </c>
      <c r="M31" s="41">
        <f t="shared" si="23"/>
        <v>0.31666666666666665</v>
      </c>
      <c r="N31" s="42">
        <f>IF(AND(D31&lt;&gt;"Jour libre 4/5",B31&lt;&gt;"Sa",B31&lt;&gt;"Di"),SUM(N30,Configuration!$H$41),SUM(N30))</f>
        <v>5.6999999999999975</v>
      </c>
      <c r="O31" s="49" t="str">
        <f t="shared" si="24"/>
        <v>-</v>
      </c>
      <c r="P31" s="143">
        <f t="shared" si="17"/>
        <v>5.3833333333333311</v>
      </c>
      <c r="Q31" s="167">
        <f t="shared" si="18"/>
        <v>0</v>
      </c>
      <c r="R31" s="168">
        <f t="shared" si="18"/>
        <v>0</v>
      </c>
      <c r="S31" s="168">
        <f t="shared" si="18"/>
        <v>0</v>
      </c>
      <c r="T31" s="169">
        <f t="shared" si="18"/>
        <v>0</v>
      </c>
      <c r="U31" s="97">
        <f t="shared" si="2"/>
        <v>0</v>
      </c>
      <c r="V31" s="97">
        <f t="shared" si="3"/>
        <v>0</v>
      </c>
      <c r="W31" s="97">
        <f t="shared" si="4"/>
        <v>0</v>
      </c>
      <c r="X31" s="97">
        <f t="shared" si="5"/>
        <v>0</v>
      </c>
      <c r="Y31" s="209"/>
      <c r="Z31" s="210"/>
      <c r="AA31" s="210"/>
      <c r="AB31" s="128">
        <f>IF(AND(D31="Jour férié semaine",((G31-F31)+(I31-H31)+(K31-J31)=0)),VLOOKUP(D31,Systeemgegevens!$J:$K,2,FALSE),0)</f>
        <v>0</v>
      </c>
      <c r="AC31" s="43">
        <f>IF(AND(NOT(ISERROR(FIND("Congé",D31))),ISERROR(FIND("1/2",D31)),ISERROR(FIND("Synd",D31)),ISERROR(FIND("synd",D31)),(G31-F31+I31-H31+K31-J31)=0),VLOOKUP(D31,Systeemgegevens!$J:$K,2,FALSE),IF(AND(NOT(ISERROR(FIND("1/2 Congé + ",D31))),(G31-F31+I31-H31+K31-J31)=0),VLOOKUP(D31,Systeemgegevens!$J:$K,2,FALSE)/2,IF(AND(NOT(ISERROR(FIND("1/2 Congé",D31))),ISERROR(FIND(" + ",D31)),ISERROR(FIND("1/2 Congé Synd.",D31))),VLOOKUP(D31,Systeemgegevens!$J:$K,2,FALSE),0)))</f>
        <v>0</v>
      </c>
      <c r="AD31" s="43">
        <f>IF(AND(OR(D31="1/2 Congé Synd.",D31="Congé Synd."),((G31-F31)+(I31-H31)+(K31-J31)=0)),VLOOKUP(D31,Systeemgegevens!$J:$K,2,FALSE),IF(AND(D31="1/2 Congé + 1/2 synd.",((G31-F31)+(I31-H31)+(K31-J31)=0)),AC31,0))</f>
        <v>0</v>
      </c>
      <c r="AE31" s="43">
        <f>IF(AND(D31="Jour de pont",((G31-F31)+(I31-H31)+(K31-J31)=0)),VLOOKUP(D31,Systeemgegevens!$J:$K,2,FALSE),0)</f>
        <v>0</v>
      </c>
      <c r="AF31" s="43">
        <f>IF(AND(D31="Jour libre 4/5",AND((G31-F31)+(I31-H31)+(K31-J31)=0)),VLOOKUP(D31,Systeemgegevens!$J:$K,2,FALSE),0)</f>
        <v>0</v>
      </c>
      <c r="AG31" s="118">
        <f>IF(AND(D31&lt;&gt;"",SUM(AB31:AF31)=0,D31&lt;&gt;$AB$4,D31&lt;&gt;$AC$4,D31&lt;&gt;$AE$4,D31&lt;&gt;$AF$4),VLOOKUP(D31,Systeemgegevens!$J:$K,2,FALSE),0)</f>
        <v>0</v>
      </c>
      <c r="AH31" s="119">
        <f t="shared" si="6"/>
        <v>0</v>
      </c>
      <c r="AI31" s="101">
        <f t="shared" si="7"/>
        <v>0</v>
      </c>
      <c r="AJ31" s="118">
        <f t="shared" si="19"/>
        <v>0</v>
      </c>
      <c r="AK31" s="119">
        <f t="shared" si="8"/>
        <v>0</v>
      </c>
      <c r="AL31" s="101">
        <f t="shared" si="9"/>
        <v>0</v>
      </c>
      <c r="AM31" s="43">
        <f t="shared" si="20"/>
        <v>0</v>
      </c>
      <c r="AN31" s="118">
        <f t="shared" si="21"/>
        <v>0</v>
      </c>
      <c r="AO31" s="122">
        <f t="shared" si="10"/>
        <v>0</v>
      </c>
      <c r="AP31" s="107">
        <f t="shared" si="11"/>
        <v>0</v>
      </c>
      <c r="AQ31" s="107">
        <f t="shared" si="12"/>
        <v>0</v>
      </c>
      <c r="AR31" s="123">
        <f t="shared" si="13"/>
        <v>0</v>
      </c>
      <c r="AS31" s="124">
        <f t="shared" si="14"/>
        <v>0</v>
      </c>
      <c r="AT31" s="124">
        <f t="shared" si="15"/>
        <v>0</v>
      </c>
      <c r="AU31" s="124">
        <f t="shared" si="16"/>
        <v>0</v>
      </c>
      <c r="AV31" s="117" t="s">
        <v>13</v>
      </c>
      <c r="AW31" s="291">
        <f>IF(($R$41=AV31)*AND($R$42&lt;&gt;""),VLOOKUP($R$42,'Barèmes police'!$E$40:$F$66,2),0)</f>
        <v>0</v>
      </c>
      <c r="AX31" s="129"/>
      <c r="AY31" s="129"/>
      <c r="AZ31" s="154"/>
      <c r="BA31" s="154"/>
      <c r="BB31" s="154"/>
      <c r="BC31" s="154"/>
      <c r="BD31" s="154"/>
      <c r="BE31" s="154"/>
      <c r="BF31" s="154"/>
    </row>
    <row r="32" spans="1:58" ht="12.75" customHeight="1" x14ac:dyDescent="0.2">
      <c r="A32" s="34"/>
      <c r="B32" s="24" t="str">
        <f t="shared" si="0"/>
        <v>Je</v>
      </c>
      <c r="C32" s="25">
        <f t="shared" si="22"/>
        <v>45316</v>
      </c>
      <c r="D32" s="51"/>
      <c r="E32" s="116"/>
      <c r="F32" s="52"/>
      <c r="G32" s="53"/>
      <c r="H32" s="52"/>
      <c r="I32" s="53"/>
      <c r="J32" s="54"/>
      <c r="K32" s="55"/>
      <c r="L32" s="40">
        <f t="shared" si="1"/>
        <v>0</v>
      </c>
      <c r="M32" s="41">
        <f t="shared" si="23"/>
        <v>0.31666666666666665</v>
      </c>
      <c r="N32" s="42">
        <f>IF(AND(D32&lt;&gt;"Jour libre 4/5",B32&lt;&gt;"Sa",B32&lt;&gt;"Di"),SUM(N31,Configuration!$H$41),SUM(N31))</f>
        <v>6.0166666666666639</v>
      </c>
      <c r="O32" s="49" t="str">
        <f t="shared" si="24"/>
        <v>-</v>
      </c>
      <c r="P32" s="143">
        <f t="shared" si="17"/>
        <v>5.6999999999999975</v>
      </c>
      <c r="Q32" s="167">
        <f t="shared" si="18"/>
        <v>0</v>
      </c>
      <c r="R32" s="168">
        <f t="shared" si="18"/>
        <v>0</v>
      </c>
      <c r="S32" s="168">
        <f t="shared" si="18"/>
        <v>0</v>
      </c>
      <c r="T32" s="169">
        <f t="shared" si="18"/>
        <v>0</v>
      </c>
      <c r="U32" s="97">
        <f t="shared" si="2"/>
        <v>0</v>
      </c>
      <c r="V32" s="97">
        <f t="shared" si="3"/>
        <v>0</v>
      </c>
      <c r="W32" s="97">
        <f t="shared" si="4"/>
        <v>0</v>
      </c>
      <c r="X32" s="97">
        <f t="shared" si="5"/>
        <v>0</v>
      </c>
      <c r="Y32" s="209"/>
      <c r="Z32" s="210"/>
      <c r="AA32" s="210"/>
      <c r="AB32" s="128">
        <f>IF(AND(D32="Jour férié semaine",((G32-F32)+(I32-H32)+(K32-J32)=0)),VLOOKUP(D32,Systeemgegevens!$J:$K,2,FALSE),0)</f>
        <v>0</v>
      </c>
      <c r="AC32" s="43">
        <f>IF(AND(NOT(ISERROR(FIND("Congé",D32))),ISERROR(FIND("1/2",D32)),ISERROR(FIND("Synd",D32)),ISERROR(FIND("synd",D32)),(G32-F32+I32-H32+K32-J32)=0),VLOOKUP(D32,Systeemgegevens!$J:$K,2,FALSE),IF(AND(NOT(ISERROR(FIND("1/2 Congé + ",D32))),(G32-F32+I32-H32+K32-J32)=0),VLOOKUP(D32,Systeemgegevens!$J:$K,2,FALSE)/2,IF(AND(NOT(ISERROR(FIND("1/2 Congé",D32))),ISERROR(FIND(" + ",D32)),ISERROR(FIND("1/2 Congé Synd.",D32))),VLOOKUP(D32,Systeemgegevens!$J:$K,2,FALSE),0)))</f>
        <v>0</v>
      </c>
      <c r="AD32" s="43">
        <f>IF(AND(OR(D32="1/2 Congé Synd.",D32="Congé Synd."),((G32-F32)+(I32-H32)+(K32-J32)=0)),VLOOKUP(D32,Systeemgegevens!$J:$K,2,FALSE),IF(AND(D32="1/2 Congé + 1/2 synd.",((G32-F32)+(I32-H32)+(K32-J32)=0)),AC32,0))</f>
        <v>0</v>
      </c>
      <c r="AE32" s="43">
        <f>IF(AND(D32="Jour de pont",((G32-F32)+(I32-H32)+(K32-J32)=0)),VLOOKUP(D32,Systeemgegevens!$J:$K,2,FALSE),0)</f>
        <v>0</v>
      </c>
      <c r="AF32" s="43">
        <f>IF(AND(D32="Jour libre 4/5",AND((G32-F32)+(I32-H32)+(K32-J32)=0)),VLOOKUP(D32,Systeemgegevens!$J:$K,2,FALSE),0)</f>
        <v>0</v>
      </c>
      <c r="AG32" s="118">
        <f>IF(AND(D32&lt;&gt;"",SUM(AB32:AF32)=0,D32&lt;&gt;$AB$4,D32&lt;&gt;$AC$4,D32&lt;&gt;$AE$4,D32&lt;&gt;$AF$4),VLOOKUP(D32,Systeemgegevens!$J:$K,2,FALSE),0)</f>
        <v>0</v>
      </c>
      <c r="AH32" s="119">
        <f t="shared" si="6"/>
        <v>0</v>
      </c>
      <c r="AI32" s="101">
        <f t="shared" si="7"/>
        <v>0</v>
      </c>
      <c r="AJ32" s="118">
        <f t="shared" si="19"/>
        <v>0</v>
      </c>
      <c r="AK32" s="119">
        <f t="shared" si="8"/>
        <v>0</v>
      </c>
      <c r="AL32" s="101">
        <f t="shared" si="9"/>
        <v>0</v>
      </c>
      <c r="AM32" s="43">
        <f t="shared" si="20"/>
        <v>0</v>
      </c>
      <c r="AN32" s="118">
        <f t="shared" si="21"/>
        <v>0</v>
      </c>
      <c r="AO32" s="122">
        <f t="shared" si="10"/>
        <v>0</v>
      </c>
      <c r="AP32" s="107">
        <f t="shared" si="11"/>
        <v>0</v>
      </c>
      <c r="AQ32" s="107">
        <f t="shared" si="12"/>
        <v>0</v>
      </c>
      <c r="AR32" s="123">
        <f t="shared" si="13"/>
        <v>0</v>
      </c>
      <c r="AS32" s="124">
        <f t="shared" si="14"/>
        <v>0</v>
      </c>
      <c r="AT32" s="124">
        <f t="shared" si="15"/>
        <v>0</v>
      </c>
      <c r="AU32" s="124">
        <f t="shared" si="16"/>
        <v>0</v>
      </c>
      <c r="AV32" s="117" t="s">
        <v>7</v>
      </c>
      <c r="AW32" s="291">
        <f>IF(($R$41=AV32)*AND($R$42&lt;&gt;""),VLOOKUP($R$42,'Barèmes police'!$AC$40:$AD$66,2),0)</f>
        <v>0</v>
      </c>
      <c r="AX32" s="129"/>
      <c r="AY32" s="129"/>
      <c r="AZ32" s="154"/>
      <c r="BA32" s="154"/>
      <c r="BB32" s="154"/>
      <c r="BC32" s="154"/>
      <c r="BD32" s="154"/>
      <c r="BE32" s="154"/>
      <c r="BF32" s="154"/>
    </row>
    <row r="33" spans="1:58" ht="12.75" customHeight="1" x14ac:dyDescent="0.2">
      <c r="A33" s="34"/>
      <c r="B33" s="24" t="str">
        <f t="shared" si="0"/>
        <v>Ve</v>
      </c>
      <c r="C33" s="25">
        <f t="shared" si="22"/>
        <v>45317</v>
      </c>
      <c r="D33" s="51"/>
      <c r="E33" s="116"/>
      <c r="F33" s="52"/>
      <c r="G33" s="53"/>
      <c r="H33" s="54"/>
      <c r="I33" s="55"/>
      <c r="J33" s="54"/>
      <c r="K33" s="55"/>
      <c r="L33" s="40">
        <f t="shared" ref="L33:L38" si="25">(G33-F33)+(I33-H33)+(K33-J33)+SUM(AB33,AC33,AD33,AE33,AF33,AG33)</f>
        <v>0</v>
      </c>
      <c r="M33" s="41">
        <f t="shared" si="23"/>
        <v>0.31666666666666665</v>
      </c>
      <c r="N33" s="42">
        <f>IF(AND(D33&lt;&gt;"Jour libre 4/5",B33&lt;&gt;"Sa",B33&lt;&gt;"Di"),SUM(N32,Configuration!$H$41),SUM(N32))</f>
        <v>6.3333333333333304</v>
      </c>
      <c r="O33" s="49" t="str">
        <f t="shared" si="24"/>
        <v>-</v>
      </c>
      <c r="P33" s="143">
        <f t="shared" si="17"/>
        <v>6.0166666666666639</v>
      </c>
      <c r="Q33" s="167">
        <f t="shared" si="18"/>
        <v>0</v>
      </c>
      <c r="R33" s="168">
        <f t="shared" si="18"/>
        <v>0</v>
      </c>
      <c r="S33" s="168">
        <f t="shared" si="18"/>
        <v>0</v>
      </c>
      <c r="T33" s="169">
        <f t="shared" si="18"/>
        <v>0</v>
      </c>
      <c r="U33" s="97">
        <f t="shared" si="2"/>
        <v>0</v>
      </c>
      <c r="V33" s="97">
        <f t="shared" si="3"/>
        <v>0</v>
      </c>
      <c r="W33" s="97">
        <f t="shared" si="4"/>
        <v>0</v>
      </c>
      <c r="X33" s="97">
        <f t="shared" si="5"/>
        <v>0</v>
      </c>
      <c r="Y33" s="209"/>
      <c r="Z33" s="210"/>
      <c r="AA33" s="210"/>
      <c r="AB33" s="128">
        <f>IF(AND(D33="Jour férié semaine",((G33-F33)+(I33-H33)+(K33-J33)=0)),VLOOKUP(D33,Systeemgegevens!$J:$K,2,FALSE),0)</f>
        <v>0</v>
      </c>
      <c r="AC33" s="43">
        <f>IF(AND(NOT(ISERROR(FIND("Congé",D33))),ISERROR(FIND("1/2",D33)),ISERROR(FIND("Synd",D33)),ISERROR(FIND("synd",D33)),(G33-F33+I33-H33+K33-J33)=0),VLOOKUP(D33,Systeemgegevens!$J:$K,2,FALSE),IF(AND(NOT(ISERROR(FIND("1/2 Congé + ",D33))),(G33-F33+I33-H33+K33-J33)=0),VLOOKUP(D33,Systeemgegevens!$J:$K,2,FALSE)/2,IF(AND(NOT(ISERROR(FIND("1/2 Congé",D33))),ISERROR(FIND(" + ",D33)),ISERROR(FIND("1/2 Congé Synd.",D33))),VLOOKUP(D33,Systeemgegevens!$J:$K,2,FALSE),0)))</f>
        <v>0</v>
      </c>
      <c r="AD33" s="43">
        <f>IF(AND(OR(D33="1/2 Congé Synd.",D33="Congé Synd."),((G33-F33)+(I33-H33)+(K33-J33)=0)),VLOOKUP(D33,Systeemgegevens!$J:$K,2,FALSE),IF(AND(D33="1/2 Congé + 1/2 synd.",((G33-F33)+(I33-H33)+(K33-J33)=0)),AC33,0))</f>
        <v>0</v>
      </c>
      <c r="AE33" s="43">
        <f>IF(AND(D33="Jour de pont",((G33-F33)+(I33-H33)+(K33-J33)=0)),VLOOKUP(D33,Systeemgegevens!$J:$K,2,FALSE),0)</f>
        <v>0</v>
      </c>
      <c r="AF33" s="43">
        <f>IF(AND(D33="Jour libre 4/5",AND((G33-F33)+(I33-H33)+(K33-J33)=0)),VLOOKUP(D33,Systeemgegevens!$J:$K,2,FALSE),0)</f>
        <v>0</v>
      </c>
      <c r="AG33" s="118">
        <f>IF(AND(D33&lt;&gt;"",SUM(AB33:AF33)=0,D33&lt;&gt;$AB$4,D33&lt;&gt;$AC$4,D33&lt;&gt;$AE$4,D33&lt;&gt;$AF$4),VLOOKUP(D33,Systeemgegevens!$J:$K,2,FALSE),0)</f>
        <v>0</v>
      </c>
      <c r="AH33" s="119">
        <f t="shared" ref="AH33:AH38" si="26">SUM(IF(AND(G33&gt;$AH$6,F33&lt;=$AH$6),G33-$AH$6,0),IF(F33&gt;$AH$6,G33-F33,0),IF(AND(I33&gt;$AH$6,H33&lt;=$AH$6),I33-$AH$6,0),IF(H33&gt;$AH$6,I33-H33,0),IF(AND(K33&gt;$AH$6,J33&lt;=$AH$6),K33-$AH$6,0),IF(J33&gt;$AH$6,K33-J33,0))</f>
        <v>0</v>
      </c>
      <c r="AI33" s="101">
        <f t="shared" ref="AI33:AI38" si="27">SUM(IF(AND(G33&gt;=$AI$7,F33&lt;$AI$7),$AI$7-F33,0),IF(G33&lt;$AI$7,G33-F33,0),IF(AND(I33&gt;=$AI$7,H33&lt;$AI$7),$AI$7-H33,0),IF(I33&lt;$AI$7,I33-H33,0),IF(AND(K33&gt;=$AI$7,J33&lt;$AI$7),$AI$7-J33,0),IF(K33&lt;$AI$7,K33-J33,0))</f>
        <v>0</v>
      </c>
      <c r="AJ33" s="118">
        <f t="shared" si="19"/>
        <v>0</v>
      </c>
      <c r="AK33" s="119">
        <f t="shared" ref="AK33:AK38" si="28">SUM(IF(AND(G33&gt;$AK$6,F33&lt;=$AK$6),G33-$AK$6,0),IF(F33&gt;$AK$6,G33-F33,0),IF(AND(I33&gt;$AK$6,H33&lt;=$AK$6),I33-$AK$6,0),IF(H33&gt;$AK$6,I33-H33,0),IF(AND(K33&gt;$AK$6,J33&lt;=$AK$6),K33-$AK$6,0),IF(J33&gt;$AK$6,K33-J33,0))</f>
        <v>0</v>
      </c>
      <c r="AL33" s="101">
        <f t="shared" ref="AL33:AL38" si="29">SUM(IF(AND(G33&gt;=$AL$7,F33&lt;$AL$7),$AL$7-F33,0),IF(G33&lt;$AL$7,G33-F33,0),IF(AND(I33&gt;=$AL$7,H33&lt;$AL$7),$AL$7-H33,0),IF(I33&lt;$AL$7,I33-H33,0),IF(AND(K33&gt;=$AL$7,J33&lt;$AL$7),$AL$7-J33,0),IF(K33&lt;$AL$7,K33-J33,0))</f>
        <v>0</v>
      </c>
      <c r="AM33" s="43">
        <f t="shared" si="20"/>
        <v>0</v>
      </c>
      <c r="AN33" s="118">
        <f t="shared" si="21"/>
        <v>0</v>
      </c>
      <c r="AO33" s="122">
        <f t="shared" ref="AO33:AO38" si="30">SUM(IF(AND(F33&lt;=$AO$6,G33&gt;=$AO$7),1,0),IF(AND(H33&lt;=$AO$6,I33&gt;=$AO$7),1,0),IF(AND(J33&lt;=$AO$6,K33&gt;=$AO$7),1,0))</f>
        <v>0</v>
      </c>
      <c r="AP33" s="107">
        <f t="shared" ref="AP33:AP38" si="31">SUM(IF(AND(F33&lt;=$AP$6,G33&gt;=$AP$7),1,0),IF(AND(H33&lt;=$AP$6,I33&gt;=$AP$7),1,0),IF(AND(J33&lt;=$AP$6,K33&gt;=$AP$7),1,0))</f>
        <v>0</v>
      </c>
      <c r="AQ33" s="107">
        <f t="shared" ref="AQ33:AQ38" si="32">SUM(IF(AND(F33&lt;=$AQ$6,G33&gt;=$AQ$7),1,0),IF(AND(H33&lt;=$AQ$6,I33&gt;=$AQ$7),1,0),IF(AND(J33&lt;=$AQ$6,K33&gt;=$AQ$7),1,0))</f>
        <v>0</v>
      </c>
      <c r="AR33" s="123">
        <f t="shared" ref="AR33:AR38" si="33">SUM(IF(AND(F33&lt;=$AR$6,G33&gt;=$AR$7),1,0),IF(AND(H33&lt;=$AR$6,I33&gt;=$AR$7),1,0),IF(AND(J33&lt;=$AR$6,K33&gt;=$AR$7),1,0))</f>
        <v>0</v>
      </c>
      <c r="AS33" s="124">
        <f t="shared" si="14"/>
        <v>0</v>
      </c>
      <c r="AT33" s="124">
        <f t="shared" si="15"/>
        <v>0</v>
      </c>
      <c r="AU33" s="124">
        <f t="shared" si="16"/>
        <v>0</v>
      </c>
      <c r="AV33" s="117" t="s">
        <v>12</v>
      </c>
      <c r="AW33" s="291">
        <f>IF(($R$41=AV33)*AND($R$42&lt;&gt;""),VLOOKUP($R$42,'Barèmes police'!$H$40:$I$66,2),0)</f>
        <v>0</v>
      </c>
      <c r="AX33" s="129"/>
      <c r="AY33" s="129"/>
      <c r="AZ33" s="154"/>
      <c r="BA33" s="154"/>
      <c r="BB33" s="154"/>
      <c r="BC33" s="154"/>
      <c r="BD33" s="154"/>
      <c r="BE33" s="154"/>
      <c r="BF33" s="154"/>
    </row>
    <row r="34" spans="1:58" ht="12.75" customHeight="1" x14ac:dyDescent="0.2">
      <c r="A34" s="34"/>
      <c r="B34" s="24" t="str">
        <f t="shared" si="0"/>
        <v>Sa</v>
      </c>
      <c r="C34" s="25">
        <f t="shared" si="22"/>
        <v>45318</v>
      </c>
      <c r="D34" s="51"/>
      <c r="E34" s="116"/>
      <c r="F34" s="52"/>
      <c r="G34" s="53"/>
      <c r="H34" s="54"/>
      <c r="I34" s="55"/>
      <c r="J34" s="54"/>
      <c r="K34" s="55"/>
      <c r="L34" s="40">
        <f t="shared" si="25"/>
        <v>0</v>
      </c>
      <c r="M34" s="41">
        <f t="shared" si="23"/>
        <v>0.31666666666666665</v>
      </c>
      <c r="N34" s="42">
        <f>IF(AND(D34&lt;&gt;"Jour libre 4/5",B34&lt;&gt;"Sa",B34&lt;&gt;"Di"),SUM(N33,Configuration!$H$41),SUM(N33))</f>
        <v>6.3333333333333304</v>
      </c>
      <c r="O34" s="49" t="str">
        <f t="shared" si="24"/>
        <v>-</v>
      </c>
      <c r="P34" s="143">
        <f t="shared" si="17"/>
        <v>6.0166666666666639</v>
      </c>
      <c r="Q34" s="167">
        <f t="shared" si="18"/>
        <v>0</v>
      </c>
      <c r="R34" s="168">
        <f t="shared" si="18"/>
        <v>0</v>
      </c>
      <c r="S34" s="168">
        <f t="shared" si="18"/>
        <v>0</v>
      </c>
      <c r="T34" s="169">
        <f t="shared" si="18"/>
        <v>0</v>
      </c>
      <c r="U34" s="97">
        <f t="shared" si="2"/>
        <v>0</v>
      </c>
      <c r="V34" s="97">
        <f t="shared" si="3"/>
        <v>0</v>
      </c>
      <c r="W34" s="97">
        <f t="shared" si="4"/>
        <v>0</v>
      </c>
      <c r="X34" s="97">
        <f t="shared" si="5"/>
        <v>0</v>
      </c>
      <c r="Y34" s="209"/>
      <c r="Z34" s="210"/>
      <c r="AA34" s="210"/>
      <c r="AB34" s="128">
        <f>IF(AND(D34="Jour férié semaine",((G34-F34)+(I34-H34)+(K34-J34)=0)),VLOOKUP(D34,Systeemgegevens!$J:$K,2,FALSE),0)</f>
        <v>0</v>
      </c>
      <c r="AC34" s="43">
        <f>IF(AND(NOT(ISERROR(FIND("Congé",D34))),ISERROR(FIND("1/2",D34)),ISERROR(FIND("Synd",D34)),ISERROR(FIND("synd",D34)),(G34-F34+I34-H34+K34-J34)=0),VLOOKUP(D34,Systeemgegevens!$J:$K,2,FALSE),IF(AND(NOT(ISERROR(FIND("1/2 Congé + ",D34))),(G34-F34+I34-H34+K34-J34)=0),VLOOKUP(D34,Systeemgegevens!$J:$K,2,FALSE)/2,IF(AND(NOT(ISERROR(FIND("1/2 Congé",D34))),ISERROR(FIND(" + ",D34)),ISERROR(FIND("1/2 Congé Synd.",D34))),VLOOKUP(D34,Systeemgegevens!$J:$K,2,FALSE),0)))</f>
        <v>0</v>
      </c>
      <c r="AD34" s="43">
        <f>IF(AND(OR(D34="1/2 Congé Synd.",D34="Congé Synd."),((G34-F34)+(I34-H34)+(K34-J34)=0)),VLOOKUP(D34,Systeemgegevens!$J:$K,2,FALSE),IF(AND(D34="1/2 Congé + 1/2 synd.",((G34-F34)+(I34-H34)+(K34-J34)=0)),AC34,0))</f>
        <v>0</v>
      </c>
      <c r="AE34" s="43">
        <f>IF(AND(D34="Jour de pont",((G34-F34)+(I34-H34)+(K34-J34)=0)),VLOOKUP(D34,Systeemgegevens!$J:$K,2,FALSE),0)</f>
        <v>0</v>
      </c>
      <c r="AF34" s="43">
        <f>IF(AND(D34="Jour libre 4/5",AND((G34-F34)+(I34-H34)+(K34-J34)=0)),VLOOKUP(D34,Systeemgegevens!$J:$K,2,FALSE),0)</f>
        <v>0</v>
      </c>
      <c r="AG34" s="118">
        <f>IF(AND(D34&lt;&gt;"",SUM(AB34:AF34)=0,D34&lt;&gt;$AB$4,D34&lt;&gt;$AC$4,D34&lt;&gt;$AE$4,D34&lt;&gt;$AF$4),VLOOKUP(D34,Systeemgegevens!$J:$K,2,FALSE),0)</f>
        <v>0</v>
      </c>
      <c r="AH34" s="119">
        <f t="shared" si="26"/>
        <v>0</v>
      </c>
      <c r="AI34" s="101">
        <f t="shared" si="27"/>
        <v>0</v>
      </c>
      <c r="AJ34" s="118">
        <f t="shared" si="19"/>
        <v>0</v>
      </c>
      <c r="AK34" s="119">
        <f t="shared" si="28"/>
        <v>0</v>
      </c>
      <c r="AL34" s="101">
        <f t="shared" si="29"/>
        <v>0</v>
      </c>
      <c r="AM34" s="43">
        <f t="shared" si="20"/>
        <v>0</v>
      </c>
      <c r="AN34" s="118">
        <f t="shared" si="21"/>
        <v>0</v>
      </c>
      <c r="AO34" s="122">
        <f t="shared" si="30"/>
        <v>0</v>
      </c>
      <c r="AP34" s="107">
        <f t="shared" si="31"/>
        <v>0</v>
      </c>
      <c r="AQ34" s="107">
        <f t="shared" si="32"/>
        <v>0</v>
      </c>
      <c r="AR34" s="123">
        <f t="shared" si="33"/>
        <v>0</v>
      </c>
      <c r="AS34" s="124">
        <f t="shared" si="14"/>
        <v>0</v>
      </c>
      <c r="AT34" s="124">
        <f t="shared" si="15"/>
        <v>0</v>
      </c>
      <c r="AU34" s="124">
        <f t="shared" si="16"/>
        <v>0</v>
      </c>
      <c r="AV34" s="117" t="s">
        <v>6</v>
      </c>
      <c r="AW34" s="291">
        <f>IF(($R$41=AV34)*AND($R$42&lt;&gt;""),VLOOKUP($R$42,'Barèmes police'!$AF$40:$AG$66,2),0)</f>
        <v>0</v>
      </c>
      <c r="AX34" s="129"/>
      <c r="AY34" s="129"/>
      <c r="AZ34" s="154"/>
      <c r="BA34" s="154"/>
      <c r="BB34" s="154"/>
      <c r="BC34" s="154"/>
      <c r="BD34" s="154"/>
      <c r="BE34" s="154"/>
      <c r="BF34" s="154"/>
    </row>
    <row r="35" spans="1:58" ht="12.75" customHeight="1" x14ac:dyDescent="0.2">
      <c r="A35" s="34"/>
      <c r="B35" s="24" t="str">
        <f t="shared" si="0"/>
        <v>Di</v>
      </c>
      <c r="C35" s="25">
        <f t="shared" si="22"/>
        <v>45319</v>
      </c>
      <c r="D35" s="51"/>
      <c r="E35" s="116"/>
      <c r="F35" s="52"/>
      <c r="G35" s="53"/>
      <c r="H35" s="54"/>
      <c r="I35" s="55"/>
      <c r="J35" s="54"/>
      <c r="K35" s="55"/>
      <c r="L35" s="40">
        <f t="shared" si="25"/>
        <v>0</v>
      </c>
      <c r="M35" s="41">
        <f t="shared" si="23"/>
        <v>0.31666666666666665</v>
      </c>
      <c r="N35" s="42">
        <f>IF(AND(D35&lt;&gt;"Jour libre 4/5",B35&lt;&gt;"Sa",B35&lt;&gt;"Di"),SUM(N34,Configuration!$H$41),SUM(N34))</f>
        <v>6.3333333333333304</v>
      </c>
      <c r="O35" s="49" t="str">
        <f t="shared" si="24"/>
        <v>-</v>
      </c>
      <c r="P35" s="143">
        <f t="shared" si="17"/>
        <v>6.0166666666666639</v>
      </c>
      <c r="Q35" s="167">
        <f t="shared" si="18"/>
        <v>0</v>
      </c>
      <c r="R35" s="168">
        <f t="shared" si="18"/>
        <v>0</v>
      </c>
      <c r="S35" s="168">
        <f t="shared" si="18"/>
        <v>0</v>
      </c>
      <c r="T35" s="169">
        <f t="shared" si="18"/>
        <v>0</v>
      </c>
      <c r="U35" s="97">
        <f t="shared" si="2"/>
        <v>0</v>
      </c>
      <c r="V35" s="97">
        <f t="shared" si="3"/>
        <v>0</v>
      </c>
      <c r="W35" s="97">
        <f t="shared" si="4"/>
        <v>0</v>
      </c>
      <c r="X35" s="97">
        <f t="shared" si="5"/>
        <v>0</v>
      </c>
      <c r="Y35" s="209"/>
      <c r="Z35" s="210"/>
      <c r="AA35" s="210"/>
      <c r="AB35" s="128">
        <f>IF(AND(D35="Jour férié semaine",((G35-F35)+(I35-H35)+(K35-J35)=0)),VLOOKUP(D35,Systeemgegevens!$J:$K,2,FALSE),0)</f>
        <v>0</v>
      </c>
      <c r="AC35" s="43">
        <f>IF(AND(NOT(ISERROR(FIND("Congé",D35))),ISERROR(FIND("1/2",D35)),ISERROR(FIND("Synd",D35)),ISERROR(FIND("synd",D35)),(G35-F35+I35-H35+K35-J35)=0),VLOOKUP(D35,Systeemgegevens!$J:$K,2,FALSE),IF(AND(NOT(ISERROR(FIND("1/2 Congé + ",D35))),(G35-F35+I35-H35+K35-J35)=0),VLOOKUP(D35,Systeemgegevens!$J:$K,2,FALSE)/2,IF(AND(NOT(ISERROR(FIND("1/2 Congé",D35))),ISERROR(FIND(" + ",D35)),ISERROR(FIND("1/2 Congé Synd.",D35))),VLOOKUP(D35,Systeemgegevens!$J:$K,2,FALSE),0)))</f>
        <v>0</v>
      </c>
      <c r="AD35" s="43">
        <f>IF(AND(OR(D35="1/2 Congé Synd.",D35="Congé Synd."),((G35-F35)+(I35-H35)+(K35-J35)=0)),VLOOKUP(D35,Systeemgegevens!$J:$K,2,FALSE),IF(AND(D35="1/2 Congé + 1/2 synd.",((G35-F35)+(I35-H35)+(K35-J35)=0)),AC35,0))</f>
        <v>0</v>
      </c>
      <c r="AE35" s="43">
        <f>IF(AND(D35="Jour de pont",((G35-F35)+(I35-H35)+(K35-J35)=0)),VLOOKUP(D35,Systeemgegevens!$J:$K,2,FALSE),0)</f>
        <v>0</v>
      </c>
      <c r="AF35" s="43">
        <f>IF(AND(D35="Jour libre 4/5",AND((G35-F35)+(I35-H35)+(K35-J35)=0)),VLOOKUP(D35,Systeemgegevens!$J:$K,2,FALSE),0)</f>
        <v>0</v>
      </c>
      <c r="AG35" s="118">
        <f>IF(AND(D35&lt;&gt;"",SUM(AB35:AF35)=0,D35&lt;&gt;$AB$4,D35&lt;&gt;$AC$4,D35&lt;&gt;$AE$4,D35&lt;&gt;$AF$4),VLOOKUP(D35,Systeemgegevens!$J:$K,2,FALSE),0)</f>
        <v>0</v>
      </c>
      <c r="AH35" s="119">
        <f t="shared" si="26"/>
        <v>0</v>
      </c>
      <c r="AI35" s="101">
        <f t="shared" si="27"/>
        <v>0</v>
      </c>
      <c r="AJ35" s="118">
        <f t="shared" si="19"/>
        <v>0</v>
      </c>
      <c r="AK35" s="119">
        <f t="shared" si="28"/>
        <v>0</v>
      </c>
      <c r="AL35" s="101">
        <f t="shared" si="29"/>
        <v>0</v>
      </c>
      <c r="AM35" s="43">
        <f t="shared" si="20"/>
        <v>0</v>
      </c>
      <c r="AN35" s="118">
        <f t="shared" si="21"/>
        <v>0</v>
      </c>
      <c r="AO35" s="122">
        <f t="shared" si="30"/>
        <v>0</v>
      </c>
      <c r="AP35" s="107">
        <f t="shared" si="31"/>
        <v>0</v>
      </c>
      <c r="AQ35" s="107">
        <f t="shared" si="32"/>
        <v>0</v>
      </c>
      <c r="AR35" s="123">
        <f t="shared" si="33"/>
        <v>0</v>
      </c>
      <c r="AS35" s="124">
        <f t="shared" si="14"/>
        <v>0</v>
      </c>
      <c r="AT35" s="124">
        <f t="shared" si="15"/>
        <v>0</v>
      </c>
      <c r="AU35" s="124">
        <f t="shared" si="16"/>
        <v>0</v>
      </c>
      <c r="AV35" s="117" t="s">
        <v>11</v>
      </c>
      <c r="AW35" s="291">
        <f>IF(($R$41=AV35)*AND($R$42&lt;&gt;""),VLOOKUP($R$42,'Barèmes police'!$K$40:$L$66,2),0)</f>
        <v>0</v>
      </c>
      <c r="AX35" s="129"/>
      <c r="AY35" s="129"/>
      <c r="AZ35" s="154"/>
      <c r="BA35" s="154"/>
      <c r="BB35" s="154"/>
      <c r="BC35" s="154"/>
      <c r="BD35" s="154"/>
      <c r="BE35" s="154"/>
      <c r="BF35" s="154"/>
    </row>
    <row r="36" spans="1:58" ht="12.75" customHeight="1" x14ac:dyDescent="0.2">
      <c r="A36" s="34"/>
      <c r="B36" s="24" t="str">
        <f t="shared" si="0"/>
        <v>Lu</v>
      </c>
      <c r="C36" s="25">
        <f t="shared" si="22"/>
        <v>45320</v>
      </c>
      <c r="D36" s="51"/>
      <c r="E36" s="116"/>
      <c r="F36" s="52"/>
      <c r="G36" s="53"/>
      <c r="H36" s="54"/>
      <c r="I36" s="55"/>
      <c r="J36" s="54"/>
      <c r="K36" s="55"/>
      <c r="L36" s="40">
        <f t="shared" si="25"/>
        <v>0</v>
      </c>
      <c r="M36" s="41">
        <f t="shared" si="23"/>
        <v>0.31666666666666665</v>
      </c>
      <c r="N36" s="42">
        <f>IF(AND(D36&lt;&gt;"Jour libre 4/5",B36&lt;&gt;"Sa",B36&lt;&gt;"Di"),SUM(N35,Configuration!$H$41),SUM(N35))</f>
        <v>6.6499999999999968</v>
      </c>
      <c r="O36" s="49" t="str">
        <f t="shared" si="24"/>
        <v>-</v>
      </c>
      <c r="P36" s="143">
        <f t="shared" si="17"/>
        <v>6.3333333333333304</v>
      </c>
      <c r="Q36" s="167">
        <f t="shared" si="18"/>
        <v>0</v>
      </c>
      <c r="R36" s="168">
        <f t="shared" si="18"/>
        <v>0</v>
      </c>
      <c r="S36" s="168">
        <f t="shared" si="18"/>
        <v>0</v>
      </c>
      <c r="T36" s="169">
        <f t="shared" si="18"/>
        <v>0</v>
      </c>
      <c r="U36" s="97">
        <f t="shared" si="2"/>
        <v>0</v>
      </c>
      <c r="V36" s="97">
        <f t="shared" si="3"/>
        <v>0</v>
      </c>
      <c r="W36" s="97">
        <f t="shared" si="4"/>
        <v>0</v>
      </c>
      <c r="X36" s="97">
        <f t="shared" si="5"/>
        <v>0</v>
      </c>
      <c r="Y36" s="209"/>
      <c r="Z36" s="210"/>
      <c r="AA36" s="210"/>
      <c r="AB36" s="128">
        <f>IF(AND(D36="Jour férié semaine",((G36-F36)+(I36-H36)+(K36-J36)=0)),VLOOKUP(D36,Systeemgegevens!$J:$K,2,FALSE),0)</f>
        <v>0</v>
      </c>
      <c r="AC36" s="43">
        <f>IF(AND(NOT(ISERROR(FIND("Congé",D36))),ISERROR(FIND("1/2",D36)),ISERROR(FIND("Synd",D36)),ISERROR(FIND("synd",D36)),(G36-F36+I36-H36+K36-J36)=0),VLOOKUP(D36,Systeemgegevens!$J:$K,2,FALSE),IF(AND(NOT(ISERROR(FIND("1/2 Congé + ",D36))),(G36-F36+I36-H36+K36-J36)=0),VLOOKUP(D36,Systeemgegevens!$J:$K,2,FALSE)/2,IF(AND(NOT(ISERROR(FIND("1/2 Congé",D36))),ISERROR(FIND(" + ",D36)),ISERROR(FIND("1/2 Congé Synd.",D36))),VLOOKUP(D36,Systeemgegevens!$J:$K,2,FALSE),0)))</f>
        <v>0</v>
      </c>
      <c r="AD36" s="43">
        <f>IF(AND(OR(D36="1/2 Congé Synd.",D36="Congé Synd."),((G36-F36)+(I36-H36)+(K36-J36)=0)),VLOOKUP(D36,Systeemgegevens!$J:$K,2,FALSE),IF(AND(D36="1/2 Congé + 1/2 synd.",((G36-F36)+(I36-H36)+(K36-J36)=0)),AC36,0))</f>
        <v>0</v>
      </c>
      <c r="AE36" s="43">
        <f>IF(AND(D36="Jour de pont",((G36-F36)+(I36-H36)+(K36-J36)=0)),VLOOKUP(D36,Systeemgegevens!$J:$K,2,FALSE),0)</f>
        <v>0</v>
      </c>
      <c r="AF36" s="43">
        <f>IF(AND(D36="Jour libre 4/5",AND((G36-F36)+(I36-H36)+(K36-J36)=0)),VLOOKUP(D36,Systeemgegevens!$J:$K,2,FALSE),0)</f>
        <v>0</v>
      </c>
      <c r="AG36" s="118">
        <f>IF(AND(D36&lt;&gt;"",SUM(AB36:AF36)=0,D36&lt;&gt;$AB$4,D36&lt;&gt;$AC$4,D36&lt;&gt;$AE$4,D36&lt;&gt;$AF$4),VLOOKUP(D36,Systeemgegevens!$J:$K,2,FALSE),0)</f>
        <v>0</v>
      </c>
      <c r="AH36" s="119">
        <f t="shared" si="26"/>
        <v>0</v>
      </c>
      <c r="AI36" s="101">
        <f t="shared" si="27"/>
        <v>0</v>
      </c>
      <c r="AJ36" s="118">
        <f t="shared" si="19"/>
        <v>0</v>
      </c>
      <c r="AK36" s="119">
        <f t="shared" si="28"/>
        <v>0</v>
      </c>
      <c r="AL36" s="101">
        <f t="shared" si="29"/>
        <v>0</v>
      </c>
      <c r="AM36" s="43">
        <f t="shared" si="20"/>
        <v>0</v>
      </c>
      <c r="AN36" s="118">
        <f t="shared" si="21"/>
        <v>0</v>
      </c>
      <c r="AO36" s="122">
        <f t="shared" si="30"/>
        <v>0</v>
      </c>
      <c r="AP36" s="107">
        <f t="shared" si="31"/>
        <v>0</v>
      </c>
      <c r="AQ36" s="107">
        <f t="shared" si="32"/>
        <v>0</v>
      </c>
      <c r="AR36" s="123">
        <f t="shared" si="33"/>
        <v>0</v>
      </c>
      <c r="AS36" s="124">
        <f t="shared" si="14"/>
        <v>0</v>
      </c>
      <c r="AT36" s="124">
        <f t="shared" si="15"/>
        <v>0</v>
      </c>
      <c r="AU36" s="124">
        <f t="shared" si="16"/>
        <v>0</v>
      </c>
      <c r="AV36" s="117" t="s">
        <v>2</v>
      </c>
      <c r="AW36" s="291">
        <f>IF(($R$41=AV36)*AND($R$42&lt;&gt;""),VLOOKUP($R$42,'Barèmes police'!$AR$40:$AS$66,2),0)</f>
        <v>0</v>
      </c>
      <c r="AX36" s="129"/>
      <c r="AY36" s="129"/>
      <c r="AZ36" s="154"/>
      <c r="BA36" s="154"/>
      <c r="BB36" s="154"/>
      <c r="BC36" s="154"/>
      <c r="BD36" s="154"/>
      <c r="BE36" s="154"/>
      <c r="BF36" s="154"/>
    </row>
    <row r="37" spans="1:58" ht="12.75" customHeight="1" x14ac:dyDescent="0.2">
      <c r="A37" s="34"/>
      <c r="B37" s="24" t="str">
        <f t="shared" si="0"/>
        <v>Ma</v>
      </c>
      <c r="C37" s="25">
        <f t="shared" si="22"/>
        <v>45321</v>
      </c>
      <c r="D37" s="51"/>
      <c r="E37" s="116"/>
      <c r="F37" s="52"/>
      <c r="G37" s="53"/>
      <c r="H37" s="54"/>
      <c r="I37" s="55"/>
      <c r="J37" s="54"/>
      <c r="K37" s="55"/>
      <c r="L37" s="40">
        <f t="shared" si="25"/>
        <v>0</v>
      </c>
      <c r="M37" s="41">
        <f t="shared" si="23"/>
        <v>0.31666666666666665</v>
      </c>
      <c r="N37" s="42">
        <f>IF(AND(D37&lt;&gt;"Jour libre 4/5",B37&lt;&gt;"Sa",B37&lt;&gt;"Di"),SUM(N36,Configuration!$H$41),SUM(N36))</f>
        <v>6.9666666666666632</v>
      </c>
      <c r="O37" s="49" t="str">
        <f t="shared" si="24"/>
        <v>-</v>
      </c>
      <c r="P37" s="143">
        <f t="shared" si="17"/>
        <v>6.6499999999999968</v>
      </c>
      <c r="Q37" s="167">
        <f t="shared" si="18"/>
        <v>0</v>
      </c>
      <c r="R37" s="168">
        <f t="shared" si="18"/>
        <v>0</v>
      </c>
      <c r="S37" s="168">
        <f t="shared" si="18"/>
        <v>0</v>
      </c>
      <c r="T37" s="169">
        <f t="shared" si="18"/>
        <v>0</v>
      </c>
      <c r="U37" s="97">
        <f t="shared" si="2"/>
        <v>0</v>
      </c>
      <c r="V37" s="97">
        <f t="shared" si="3"/>
        <v>0</v>
      </c>
      <c r="W37" s="97">
        <f t="shared" si="4"/>
        <v>0</v>
      </c>
      <c r="X37" s="97">
        <f t="shared" si="5"/>
        <v>0</v>
      </c>
      <c r="Y37" s="209"/>
      <c r="Z37" s="210"/>
      <c r="AA37" s="210"/>
      <c r="AB37" s="128">
        <f>IF(AND(D37="Jour férié semaine",((G37-F37)+(I37-H37)+(K37-J37)=0)),VLOOKUP(D37,Systeemgegevens!$J:$K,2,FALSE),0)</f>
        <v>0</v>
      </c>
      <c r="AC37" s="43">
        <f>IF(AND(NOT(ISERROR(FIND("Congé",D37))),ISERROR(FIND("1/2",D37)),ISERROR(FIND("Synd",D37)),ISERROR(FIND("synd",D37)),(G37-F37+I37-H37+K37-J37)=0),VLOOKUP(D37,Systeemgegevens!$J:$K,2,FALSE),IF(AND(NOT(ISERROR(FIND("1/2 Congé + ",D37))),(G37-F37+I37-H37+K37-J37)=0),VLOOKUP(D37,Systeemgegevens!$J:$K,2,FALSE)/2,IF(AND(NOT(ISERROR(FIND("1/2 Congé",D37))),ISERROR(FIND(" + ",D37)),ISERROR(FIND("1/2 Congé Synd.",D37))),VLOOKUP(D37,Systeemgegevens!$J:$K,2,FALSE),0)))</f>
        <v>0</v>
      </c>
      <c r="AD37" s="43">
        <f>IF(AND(OR(D37="1/2 Congé Synd.",D37="Congé Synd."),((G37-F37)+(I37-H37)+(K37-J37)=0)),VLOOKUP(D37,Systeemgegevens!$J:$K,2,FALSE),IF(AND(D37="1/2 Congé + 1/2 synd.",((G37-F37)+(I37-H37)+(K37-J37)=0)),AC37,0))</f>
        <v>0</v>
      </c>
      <c r="AE37" s="43">
        <f>IF(AND(D37="Jour de pont",((G37-F37)+(I37-H37)+(K37-J37)=0)),VLOOKUP(D37,Systeemgegevens!$J:$K,2,FALSE),0)</f>
        <v>0</v>
      </c>
      <c r="AF37" s="43">
        <f>IF(AND(D37="Jour libre 4/5",AND((G37-F37)+(I37-H37)+(K37-J37)=0)),VLOOKUP(D37,Systeemgegevens!$J:$K,2,FALSE),0)</f>
        <v>0</v>
      </c>
      <c r="AG37" s="118">
        <f>IF(AND(D37&lt;&gt;"",SUM(AB37:AF37)=0,D37&lt;&gt;$AB$4,D37&lt;&gt;$AC$4,D37&lt;&gt;$AE$4,D37&lt;&gt;$AF$4),VLOOKUP(D37,Systeemgegevens!$J:$K,2,FALSE),0)</f>
        <v>0</v>
      </c>
      <c r="AH37" s="119">
        <f t="shared" si="26"/>
        <v>0</v>
      </c>
      <c r="AI37" s="101">
        <f t="shared" si="27"/>
        <v>0</v>
      </c>
      <c r="AJ37" s="118">
        <f t="shared" si="19"/>
        <v>0</v>
      </c>
      <c r="AK37" s="119">
        <f t="shared" si="28"/>
        <v>0</v>
      </c>
      <c r="AL37" s="101">
        <f t="shared" si="29"/>
        <v>0</v>
      </c>
      <c r="AM37" s="43">
        <f t="shared" si="20"/>
        <v>0</v>
      </c>
      <c r="AN37" s="118">
        <f t="shared" si="21"/>
        <v>0</v>
      </c>
      <c r="AO37" s="122">
        <f t="shared" si="30"/>
        <v>0</v>
      </c>
      <c r="AP37" s="107">
        <f t="shared" si="31"/>
        <v>0</v>
      </c>
      <c r="AQ37" s="107">
        <f t="shared" si="32"/>
        <v>0</v>
      </c>
      <c r="AR37" s="123">
        <f t="shared" si="33"/>
        <v>0</v>
      </c>
      <c r="AS37" s="124">
        <f t="shared" si="14"/>
        <v>0</v>
      </c>
      <c r="AT37" s="124">
        <f t="shared" si="15"/>
        <v>0</v>
      </c>
      <c r="AU37" s="124">
        <f t="shared" si="16"/>
        <v>0</v>
      </c>
      <c r="AV37" s="117" t="s">
        <v>269</v>
      </c>
      <c r="AW37" s="291">
        <f>IF(($R$41=AV37)*AND($R$42&lt;&gt;""),VLOOKUP($R$42,'Barèmes police'!$AU$40:$AV$66,2),0)</f>
        <v>0</v>
      </c>
      <c r="AX37" s="129"/>
      <c r="AY37" s="129"/>
      <c r="AZ37" s="154"/>
      <c r="BA37" s="154"/>
      <c r="BB37" s="154"/>
      <c r="BC37" s="154"/>
      <c r="BD37" s="154"/>
      <c r="BE37" s="154"/>
      <c r="BF37" s="154"/>
    </row>
    <row r="38" spans="1:58" ht="12.75" customHeight="1" x14ac:dyDescent="0.2">
      <c r="A38" s="34"/>
      <c r="B38" s="36" t="str">
        <f t="shared" si="0"/>
        <v>Me</v>
      </c>
      <c r="C38" s="25">
        <f t="shared" si="22"/>
        <v>45322</v>
      </c>
      <c r="D38" s="56"/>
      <c r="E38" s="56"/>
      <c r="F38" s="149"/>
      <c r="G38" s="150"/>
      <c r="H38" s="57"/>
      <c r="I38" s="58"/>
      <c r="J38" s="57"/>
      <c r="K38" s="58"/>
      <c r="L38" s="44">
        <f t="shared" si="25"/>
        <v>0</v>
      </c>
      <c r="M38" s="46">
        <f>M37+L38</f>
        <v>0.31666666666666665</v>
      </c>
      <c r="N38" s="47">
        <f>IF(AND(D38&lt;&gt;"Jour libre 4/5",B38&lt;&gt;"Sa",B38&lt;&gt;"Di"),SUM(N37,Configuration!$H$41),SUM(N37))</f>
        <v>7.2833333333333297</v>
      </c>
      <c r="O38" s="50" t="str">
        <f t="shared" si="24"/>
        <v>-</v>
      </c>
      <c r="P38" s="142">
        <f t="shared" si="17"/>
        <v>6.9666666666666632</v>
      </c>
      <c r="Q38" s="170">
        <f t="shared" si="18"/>
        <v>0</v>
      </c>
      <c r="R38" s="171">
        <f t="shared" si="18"/>
        <v>0</v>
      </c>
      <c r="S38" s="171">
        <f t="shared" si="18"/>
        <v>0</v>
      </c>
      <c r="T38" s="172">
        <f t="shared" si="18"/>
        <v>0</v>
      </c>
      <c r="U38" s="98">
        <f t="shared" si="2"/>
        <v>0</v>
      </c>
      <c r="V38" s="98">
        <f t="shared" si="3"/>
        <v>0</v>
      </c>
      <c r="W38" s="98">
        <f t="shared" si="4"/>
        <v>0</v>
      </c>
      <c r="X38" s="98">
        <f t="shared" si="5"/>
        <v>0</v>
      </c>
      <c r="Y38" s="211"/>
      <c r="Z38" s="212"/>
      <c r="AA38" s="212"/>
      <c r="AB38" s="128">
        <f>IF(AND(D38="Jour férié semaine",((G38-F38)+(I38-H38)+(K38-J38)=0)),VLOOKUP(D38,Systeemgegevens!$J:$K,2,FALSE),0)</f>
        <v>0</v>
      </c>
      <c r="AC38" s="43">
        <f>IF(AND(NOT(ISERROR(FIND("Congé",D38))),ISERROR(FIND("1/2",D38)),ISERROR(FIND("Synd",D38)),ISERROR(FIND("synd",D38)),(G38-F38+I38-H38+K38-J38)=0),VLOOKUP(D38,Systeemgegevens!$J:$K,2,FALSE),IF(AND(NOT(ISERROR(FIND("1/2 Congé + ",D38))),(G38-F38+I38-H38+K38-J38)=0),VLOOKUP(D38,Systeemgegevens!$J:$K,2,FALSE)/2,IF(AND(NOT(ISERROR(FIND("1/2 Congé",D38))),ISERROR(FIND(" + ",D38)),ISERROR(FIND("1/2 Congé Synd.",D38))),VLOOKUP(D38,Systeemgegevens!$J:$K,2,FALSE),0)))</f>
        <v>0</v>
      </c>
      <c r="AD38" s="43">
        <f>IF(AND(OR(D38="1/2 Congé Synd.",D38="Congé Synd."),((G38-F38)+(I38-H38)+(K38-J38)=0)),VLOOKUP(D38,Systeemgegevens!$J:$K,2,FALSE),IF(AND(D38="1/2 Congé + 1/2 synd.",((G38-F38)+(I38-H38)+(K38-J38)=0)),AC38,0))</f>
        <v>0</v>
      </c>
      <c r="AE38" s="43">
        <f>IF(AND(D38="Jour de pont",((G38-F38)+(I38-H38)+(K38-J38)=0)),VLOOKUP(D38,Systeemgegevens!$J:$K,2,FALSE),0)</f>
        <v>0</v>
      </c>
      <c r="AF38" s="43">
        <f>IF(AND(D38="Jour libre 4/5",AND((G38-F38)+(I38-H38)+(K38-J38)=0)),VLOOKUP(D38,Systeemgegevens!$J:$K,2,FALSE),0)</f>
        <v>0</v>
      </c>
      <c r="AG38" s="118">
        <f>IF(AND(D38&lt;&gt;"",SUM(AB38:AF38)=0,D38&lt;&gt;$AB$4,D38&lt;&gt;$AC$4,D38&lt;&gt;$AE$4,D38&lt;&gt;$AF$4),VLOOKUP(D38,Systeemgegevens!$J:$K,2,FALSE),0)</f>
        <v>0</v>
      </c>
      <c r="AH38" s="119">
        <f t="shared" si="26"/>
        <v>0</v>
      </c>
      <c r="AI38" s="101">
        <f t="shared" si="27"/>
        <v>0</v>
      </c>
      <c r="AJ38" s="118">
        <f t="shared" si="19"/>
        <v>0</v>
      </c>
      <c r="AK38" s="119">
        <f t="shared" si="28"/>
        <v>0</v>
      </c>
      <c r="AL38" s="101">
        <f t="shared" si="29"/>
        <v>0</v>
      </c>
      <c r="AM38" s="43">
        <f t="shared" si="20"/>
        <v>0</v>
      </c>
      <c r="AN38" s="118">
        <f t="shared" si="21"/>
        <v>0</v>
      </c>
      <c r="AO38" s="122">
        <f t="shared" si="30"/>
        <v>0</v>
      </c>
      <c r="AP38" s="107">
        <f t="shared" si="31"/>
        <v>0</v>
      </c>
      <c r="AQ38" s="107">
        <f t="shared" si="32"/>
        <v>0</v>
      </c>
      <c r="AR38" s="123">
        <f t="shared" si="33"/>
        <v>0</v>
      </c>
      <c r="AS38" s="124">
        <f t="shared" si="14"/>
        <v>0</v>
      </c>
      <c r="AT38" s="124">
        <f t="shared" si="15"/>
        <v>0</v>
      </c>
      <c r="AU38" s="124">
        <f t="shared" si="16"/>
        <v>0</v>
      </c>
      <c r="AX38" s="129"/>
      <c r="AY38" s="129"/>
      <c r="AZ38" s="154"/>
      <c r="BA38" s="154"/>
      <c r="BB38" s="154"/>
      <c r="BC38" s="154"/>
      <c r="BD38" s="154"/>
      <c r="BE38" s="154"/>
      <c r="BF38" s="154"/>
    </row>
    <row r="39" spans="1:58" ht="12.75" customHeight="1" x14ac:dyDescent="0.2">
      <c r="C39" s="281"/>
      <c r="AX39" s="129"/>
      <c r="AY39" s="129"/>
    </row>
    <row r="40" spans="1:58" ht="12.75" customHeight="1" x14ac:dyDescent="0.2">
      <c r="J40" s="215"/>
      <c r="K40" s="215"/>
      <c r="L40" s="215"/>
      <c r="M40" s="216"/>
      <c r="N40" s="215"/>
      <c r="O40" s="217"/>
      <c r="P40" s="215"/>
      <c r="Q40" s="215"/>
      <c r="R40" s="215"/>
      <c r="S40" s="215"/>
      <c r="T40" s="215"/>
      <c r="U40" s="217"/>
      <c r="V40" s="217"/>
      <c r="W40" s="416" t="s">
        <v>212</v>
      </c>
      <c r="X40" s="417"/>
      <c r="Y40" s="23"/>
      <c r="Z40" s="218"/>
      <c r="AA40" s="218"/>
      <c r="AV40" s="117" t="s">
        <v>8</v>
      </c>
      <c r="AW40" s="291">
        <f>IF(($R$41=AV40)*AND($R$42&lt;&gt;""),VLOOKUP($R$42,'Barèmes police'!$Z$40:$AA$66,2),0)</f>
        <v>0</v>
      </c>
      <c r="AX40" s="129"/>
      <c r="AY40" s="129"/>
    </row>
    <row r="41" spans="1:58" ht="12.75" customHeight="1" x14ac:dyDescent="0.2">
      <c r="B41" s="475" t="s">
        <v>201</v>
      </c>
      <c r="C41" s="414"/>
      <c r="D41" s="398"/>
      <c r="E41" s="397" t="s">
        <v>202</v>
      </c>
      <c r="F41" s="398"/>
      <c r="G41" s="414" t="s">
        <v>243</v>
      </c>
      <c r="H41" s="415"/>
      <c r="J41" s="407" t="s">
        <v>231</v>
      </c>
      <c r="K41" s="408"/>
      <c r="L41" s="408"/>
      <c r="M41" s="408"/>
      <c r="N41" s="408"/>
      <c r="O41" s="219"/>
      <c r="P41" s="220"/>
      <c r="Q41" s="220"/>
      <c r="R41" s="405" t="s">
        <v>36</v>
      </c>
      <c r="S41" s="406"/>
      <c r="T41" s="402" t="s">
        <v>213</v>
      </c>
      <c r="U41" s="403"/>
      <c r="V41" s="404"/>
      <c r="W41" s="221">
        <v>1</v>
      </c>
      <c r="X41" s="222" t="s">
        <v>54</v>
      </c>
      <c r="Y41" s="23"/>
      <c r="Z41" s="383" t="s">
        <v>75</v>
      </c>
      <c r="AA41" s="384"/>
      <c r="AV41" s="117" t="s">
        <v>5</v>
      </c>
      <c r="AW41" s="291">
        <f>IF(($R$41=AV41)*AND($R$42&lt;&gt;""),VLOOKUP($R$42,'Barèmes police'!$AI$40:$AJ$66,2),0)</f>
        <v>0</v>
      </c>
      <c r="AX41" s="129"/>
      <c r="AY41" s="129"/>
    </row>
    <row r="42" spans="1:58" ht="12.75" customHeight="1" x14ac:dyDescent="0.2">
      <c r="B42" s="476" t="s">
        <v>205</v>
      </c>
      <c r="C42" s="477"/>
      <c r="D42" s="478"/>
      <c r="E42" s="412">
        <f>Configuration!H37+Configuration!H30</f>
        <v>32</v>
      </c>
      <c r="F42" s="413"/>
      <c r="G42" s="399">
        <f>Configuration!H37*Configuration!$H$41+Configuration!$H$32</f>
        <v>10.133333333333333</v>
      </c>
      <c r="H42" s="399"/>
      <c r="J42" s="223"/>
      <c r="K42" s="224"/>
      <c r="L42" s="224"/>
      <c r="M42" s="224"/>
      <c r="N42" s="224"/>
      <c r="O42" s="225"/>
      <c r="P42" s="226"/>
      <c r="Q42" s="226"/>
      <c r="R42" s="464">
        <v>0</v>
      </c>
      <c r="S42" s="465"/>
      <c r="T42" s="466">
        <f>SUM(AW8:AW201)</f>
        <v>14703.88</v>
      </c>
      <c r="U42" s="467"/>
      <c r="V42" s="468"/>
      <c r="W42" s="213">
        <v>13409.11</v>
      </c>
      <c r="X42" s="214">
        <v>12735.61</v>
      </c>
      <c r="Y42" s="23"/>
      <c r="Z42" s="457">
        <v>2.0398999999999998</v>
      </c>
      <c r="AA42" s="458"/>
      <c r="AV42" s="117" t="s">
        <v>10</v>
      </c>
      <c r="AW42" s="291">
        <f>IF(($R$41=AV42)*AND($R$42&lt;&gt;""),VLOOKUP($R$42,'Barèmes police'!$N$40:$O$66,2),0)</f>
        <v>0</v>
      </c>
      <c r="AX42" s="129"/>
      <c r="AY42" s="129"/>
    </row>
    <row r="43" spans="1:58" ht="12.75" customHeight="1" x14ac:dyDescent="0.2">
      <c r="B43" s="476" t="s">
        <v>203</v>
      </c>
      <c r="C43" s="477"/>
      <c r="D43" s="478"/>
      <c r="E43" s="459">
        <v>2</v>
      </c>
      <c r="F43" s="460"/>
      <c r="G43" s="463">
        <f>E43*Configuration!$H$41</f>
        <v>0.6333333333333333</v>
      </c>
      <c r="H43" s="463"/>
      <c r="J43" s="227" t="s">
        <v>215</v>
      </c>
      <c r="K43" s="228"/>
      <c r="L43" s="229"/>
      <c r="M43" s="230">
        <f>IF(MINUTE(SUM(U8:U39))&gt;=30,SUM(U8:U39)+(TIME(1,0,0))-TIME(0,MINUTE(SUM(U8:U39)),0),SUM(U8:U39)-TIME(0,MINUTE(SUM(U8:U39)),0))</f>
        <v>0</v>
      </c>
      <c r="N43" s="219" t="s">
        <v>190</v>
      </c>
      <c r="O43" s="231"/>
      <c r="P43" s="220"/>
      <c r="Q43" s="220"/>
      <c r="R43" s="232"/>
      <c r="S43" s="354">
        <f>IF($R$2="Oui",(M43*AK44*24),0)</f>
        <v>0</v>
      </c>
      <c r="T43" s="355"/>
      <c r="U43" s="355"/>
      <c r="V43" s="233" t="s">
        <v>55</v>
      </c>
      <c r="W43" s="234">
        <f>IF($R$3="Oui",M43*AK49*24,0)</f>
        <v>0</v>
      </c>
      <c r="X43" s="235" t="s">
        <v>55</v>
      </c>
      <c r="Y43" s="23"/>
      <c r="Z43" s="218"/>
      <c r="AA43" s="218"/>
      <c r="AB43" s="352" t="s">
        <v>66</v>
      </c>
      <c r="AC43" s="353"/>
      <c r="AD43" s="353"/>
      <c r="AE43" s="130">
        <f>T42*Z42</f>
        <v>29994.444811999994</v>
      </c>
      <c r="AG43" s="352" t="s">
        <v>64</v>
      </c>
      <c r="AH43" s="353"/>
      <c r="AI43" s="353"/>
      <c r="AJ43" s="353"/>
      <c r="AK43" s="130">
        <f>T42*Z42/1850</f>
        <v>16.213213411891889</v>
      </c>
      <c r="AM43" s="389" t="s">
        <v>163</v>
      </c>
      <c r="AN43" s="390"/>
      <c r="AO43" s="390"/>
      <c r="AP43" s="390"/>
      <c r="AQ43" s="390"/>
      <c r="AR43" s="127"/>
      <c r="AV43" s="18" t="s">
        <v>4</v>
      </c>
      <c r="AW43" s="291">
        <f>IF(($R$41=AV43)*AND($R$42&lt;&gt;""),VLOOKUP($R$42,'Barèmes police'!$AL$40:$AM$66,2),0)</f>
        <v>0</v>
      </c>
      <c r="AX43" s="129"/>
      <c r="AY43" s="129"/>
    </row>
    <row r="44" spans="1:58" ht="12.75" customHeight="1" x14ac:dyDescent="0.2">
      <c r="B44" s="476" t="s">
        <v>260</v>
      </c>
      <c r="C44" s="477"/>
      <c r="D44" s="478"/>
      <c r="E44" s="412">
        <f>SUM(AU8:AU39)</f>
        <v>0</v>
      </c>
      <c r="F44" s="413"/>
      <c r="G44" s="399">
        <f>SUM(AU8:AU39)*Configuration!H41</f>
        <v>0</v>
      </c>
      <c r="H44" s="399"/>
      <c r="J44" s="236" t="s">
        <v>217</v>
      </c>
      <c r="K44" s="237"/>
      <c r="L44" s="238"/>
      <c r="M44" s="239">
        <f>IF(MINUTE(SUM(V8:V39))&gt;=30,SUM(V8:V39)+(TIME(1,0,0))-TIME(0,MINUTE(SUM(V8:V39)),0),SUM(V8:V39)-TIME(0,MINUTE(SUM(V8:V39)),0))</f>
        <v>0</v>
      </c>
      <c r="N44" s="225" t="s">
        <v>190</v>
      </c>
      <c r="O44" s="240"/>
      <c r="P44" s="226"/>
      <c r="Q44" s="226"/>
      <c r="R44" s="232"/>
      <c r="S44" s="354">
        <f>IF($R$2="Oui",M44*AK45*24,0)</f>
        <v>0</v>
      </c>
      <c r="T44" s="355"/>
      <c r="U44" s="355"/>
      <c r="V44" s="233" t="s">
        <v>55</v>
      </c>
      <c r="W44" s="23"/>
      <c r="X44" s="241"/>
      <c r="Y44" s="23"/>
      <c r="Z44" s="377" t="s">
        <v>211</v>
      </c>
      <c r="AA44" s="378"/>
      <c r="AB44" s="358" t="s">
        <v>67</v>
      </c>
      <c r="AC44" s="359"/>
      <c r="AD44" s="359"/>
      <c r="AE44" s="121">
        <f>AE43*0.075</f>
        <v>2249.5833608999997</v>
      </c>
      <c r="AG44" s="358" t="s">
        <v>65</v>
      </c>
      <c r="AH44" s="359"/>
      <c r="AI44" s="359"/>
      <c r="AJ44" s="359"/>
      <c r="AK44" s="136">
        <f>(AK43*0.9645)*AE49</f>
        <v>9.3231635529859105</v>
      </c>
      <c r="AM44" s="391" t="str">
        <f>IF(Configuration!$H$30="Dagen","Aantal dagen beschikbaar:","Aantal uren beschikbaar:")</f>
        <v>Aantal uren beschikbaar:</v>
      </c>
      <c r="AN44" s="392"/>
      <c r="AO44" s="392"/>
      <c r="AP44" s="392"/>
      <c r="AQ44" s="393">
        <f>IF(Configuration!H30="Dagen",Configuration!H45,Configuration!H45)</f>
        <v>99999</v>
      </c>
      <c r="AR44" s="394"/>
      <c r="AV44" s="18" t="s">
        <v>9</v>
      </c>
      <c r="AW44" s="291">
        <f>IF(($R$41=AV44)*AND($R$42&lt;&gt;""),VLOOKUP($R$42,'Barèmes police'!$Q$40:$R$66,2),0)</f>
        <v>0</v>
      </c>
      <c r="AX44" s="129"/>
      <c r="AY44" s="129"/>
    </row>
    <row r="45" spans="1:58" ht="12.75" customHeight="1" x14ac:dyDescent="0.2">
      <c r="B45" s="476" t="s">
        <v>204</v>
      </c>
      <c r="C45" s="477"/>
      <c r="D45" s="478"/>
      <c r="E45" s="412">
        <f>SUM(AC8:AC39)/Configuration!H41</f>
        <v>0</v>
      </c>
      <c r="F45" s="413"/>
      <c r="G45" s="399">
        <f>SUM(AC8:AC39)</f>
        <v>0</v>
      </c>
      <c r="H45" s="399"/>
      <c r="J45" s="236" t="s">
        <v>216</v>
      </c>
      <c r="K45" s="237"/>
      <c r="L45" s="238"/>
      <c r="M45" s="239">
        <f>IF(MINUTE(SUM(W8:W39))&gt;=30,SUM(W8:W39)+(TIME(1,0,0))-TIME(0,MINUTE(SUM(W8:W39)),0),SUM(W8:W39)-TIME(0,MINUTE(SUM(W8:W39)),0))</f>
        <v>0</v>
      </c>
      <c r="N45" s="237" t="s">
        <v>190</v>
      </c>
      <c r="O45" s="225"/>
      <c r="P45" s="225"/>
      <c r="Q45" s="225"/>
      <c r="R45" s="233"/>
      <c r="S45" s="354">
        <f>IF($R$2="Oui",M45*AK46*24,0)</f>
        <v>0</v>
      </c>
      <c r="T45" s="355"/>
      <c r="U45" s="355"/>
      <c r="V45" s="233" t="s">
        <v>55</v>
      </c>
      <c r="W45" s="234"/>
      <c r="X45" s="235"/>
      <c r="Y45" s="23"/>
      <c r="Z45" s="379"/>
      <c r="AA45" s="380"/>
      <c r="AB45" s="358" t="s">
        <v>68</v>
      </c>
      <c r="AC45" s="359"/>
      <c r="AD45" s="359"/>
      <c r="AE45" s="121">
        <f>AE43*0.0355</f>
        <v>1064.8027908259996</v>
      </c>
      <c r="AG45" s="358" t="s">
        <v>77</v>
      </c>
      <c r="AH45" s="359"/>
      <c r="AI45" s="359"/>
      <c r="AJ45" s="359"/>
      <c r="AK45" s="136">
        <f>AK44*0.2</f>
        <v>1.8646327105971823</v>
      </c>
      <c r="AM45" s="391" t="str">
        <f>IF(Configuration!$H$30="Dagen","Opgenomen Congé Synd.dagen:","Opgenomen Congé Synd.uren:")</f>
        <v>Opgenomen Congé Synd.uren:</v>
      </c>
      <c r="AN45" s="392"/>
      <c r="AO45" s="392"/>
      <c r="AP45" s="392"/>
      <c r="AQ45" s="469">
        <f>IF(Configuration!$H$30="Dagen",SUM(AD8:AD39)/Configuration!H41,SUM(AD8:AD39))</f>
        <v>0</v>
      </c>
      <c r="AR45" s="470"/>
      <c r="AV45" s="18" t="s">
        <v>3</v>
      </c>
      <c r="AW45" s="291">
        <f>IF(($R$41=AV45)*AND($R$42&lt;&gt;""),VLOOKUP($R$42,'Barèmes police'!$AO$40:$AP$66,2),0)</f>
        <v>0</v>
      </c>
    </row>
    <row r="46" spans="1:58" ht="12.75" customHeight="1" x14ac:dyDescent="0.2">
      <c r="B46" s="409" t="s">
        <v>254</v>
      </c>
      <c r="C46" s="410"/>
      <c r="D46" s="411"/>
      <c r="E46" s="461">
        <f>E42+E43+E44-E45</f>
        <v>34</v>
      </c>
      <c r="F46" s="462"/>
      <c r="G46" s="400">
        <f>G42+G43+G44-G45</f>
        <v>10.766666666666666</v>
      </c>
      <c r="H46" s="401"/>
      <c r="J46" s="236" t="s">
        <v>218</v>
      </c>
      <c r="K46" s="237"/>
      <c r="L46" s="238"/>
      <c r="M46" s="239">
        <f>IF(MINUTE(SUM(X8:X39))&gt;=30,SUM(X8:X39)+(TIME(1,0,0))-TIME(0,MINUTE(SUM(X8:X39)),0),SUM(X8:X39)-TIME(0,MINUTE(SUM(X8:X39)),0))</f>
        <v>0</v>
      </c>
      <c r="N46" s="237" t="s">
        <v>190</v>
      </c>
      <c r="O46" s="225"/>
      <c r="P46" s="225"/>
      <c r="Q46" s="225"/>
      <c r="R46" s="233"/>
      <c r="S46" s="242"/>
      <c r="T46" s="242"/>
      <c r="U46" s="242"/>
      <c r="V46" s="243"/>
      <c r="W46" s="234">
        <f>IF($R$3="Oui",M46*AK52*24,0)</f>
        <v>0</v>
      </c>
      <c r="X46" s="235" t="s">
        <v>55</v>
      </c>
      <c r="Y46" s="23"/>
      <c r="Z46" s="381">
        <f>AE48</f>
        <v>0.40380000000000005</v>
      </c>
      <c r="AA46" s="382"/>
      <c r="AB46" s="348" t="s">
        <v>69</v>
      </c>
      <c r="AC46" s="349"/>
      <c r="AD46" s="349"/>
      <c r="AE46" s="132">
        <f>AE43-AE44-AE45</f>
        <v>26680.058660273993</v>
      </c>
      <c r="AG46" s="348" t="s">
        <v>78</v>
      </c>
      <c r="AH46" s="349"/>
      <c r="AI46" s="349"/>
      <c r="AJ46" s="349"/>
      <c r="AK46" s="132">
        <f>AK44*0.35</f>
        <v>3.2631072435450683</v>
      </c>
      <c r="AM46" s="375" t="str">
        <f>IF(Configuration!$H$30="Dagen","Resterend aantal dagen:","Resterend aantal uren:")</f>
        <v>Resterend aantal uren:</v>
      </c>
      <c r="AN46" s="376"/>
      <c r="AO46" s="376"/>
      <c r="AP46" s="376"/>
      <c r="AQ46" s="366">
        <f>AQ44-AQ45</f>
        <v>99999</v>
      </c>
      <c r="AR46" s="367"/>
      <c r="AV46" s="18" t="s">
        <v>1</v>
      </c>
      <c r="AW46" s="291">
        <f>IF(($R$41=AV46)*AND($R$42&lt;&gt;""),VLOOKUP($R$42,'Barèmes police'!$T$40:$U$69,2),0)</f>
        <v>0</v>
      </c>
    </row>
    <row r="47" spans="1:58" ht="12.75" customHeight="1" x14ac:dyDescent="0.2">
      <c r="B47" s="23"/>
      <c r="C47" s="23"/>
      <c r="D47" s="23"/>
      <c r="E47" s="23"/>
      <c r="F47" s="23"/>
      <c r="G47" s="23"/>
      <c r="J47" s="236" t="s">
        <v>219</v>
      </c>
      <c r="K47" s="237"/>
      <c r="L47" s="238"/>
      <c r="M47" s="244">
        <f>COUNTIF($Q$8:$Q$38,"1")</f>
        <v>0</v>
      </c>
      <c r="N47" s="225"/>
      <c r="O47" s="362" t="s">
        <v>223</v>
      </c>
      <c r="P47" s="363"/>
      <c r="Q47" s="363"/>
      <c r="R47" s="245">
        <f>COUNTIF($Q$8:$Q$38,"2")</f>
        <v>0</v>
      </c>
      <c r="S47" s="354">
        <f>IF($R$2="Oui",(M47*AE52*Z42+(R47*Z42*2.48)),0)</f>
        <v>0</v>
      </c>
      <c r="T47" s="355"/>
      <c r="U47" s="355"/>
      <c r="V47" s="233" t="s">
        <v>55</v>
      </c>
      <c r="W47" s="234">
        <f>IF($R$3="Oui",(M47*AE52*Z42+(R47*AE52*6.2)),0)</f>
        <v>0</v>
      </c>
      <c r="X47" s="235" t="s">
        <v>55</v>
      </c>
      <c r="Y47" s="23"/>
      <c r="Z47" s="218"/>
      <c r="AA47" s="218"/>
      <c r="AV47" s="18" t="s">
        <v>0</v>
      </c>
      <c r="AW47" s="291">
        <f>IF(($R$41=AV47)*AND($R$42&lt;&gt;""),VLOOKUP($R$42,'Barèmes police'!$W$40:$X$69,2),0)</f>
        <v>0</v>
      </c>
    </row>
    <row r="48" spans="1:58" ht="12.75" customHeight="1" x14ac:dyDescent="0.2">
      <c r="B48" s="368" t="s">
        <v>206</v>
      </c>
      <c r="C48" s="369"/>
      <c r="D48" s="369"/>
      <c r="E48" s="369"/>
      <c r="F48" s="370" t="s">
        <v>180</v>
      </c>
      <c r="G48" s="371"/>
      <c r="J48" s="236" t="s">
        <v>220</v>
      </c>
      <c r="K48" s="237"/>
      <c r="L48" s="238"/>
      <c r="M48" s="244">
        <f>COUNTIF($R$8:$R$38,"1")</f>
        <v>0</v>
      </c>
      <c r="N48" s="225"/>
      <c r="O48" s="362" t="s">
        <v>224</v>
      </c>
      <c r="P48" s="363"/>
      <c r="Q48" s="363"/>
      <c r="R48" s="245">
        <f>COUNTIF($R$8:$R$38,"2")</f>
        <v>0</v>
      </c>
      <c r="S48" s="354">
        <f>IF($R$2="Oui",(M48*AE53*Z42+(R48*Z42*6.2)),0)</f>
        <v>0</v>
      </c>
      <c r="T48" s="355"/>
      <c r="U48" s="355"/>
      <c r="V48" s="233" t="s">
        <v>55</v>
      </c>
      <c r="W48" s="234">
        <f>IF($R$3="Oui",(M48*AE53*Z42+(R48*AE53*6.2)),0)</f>
        <v>0</v>
      </c>
      <c r="X48" s="235" t="s">
        <v>55</v>
      </c>
      <c r="Y48" s="23"/>
      <c r="Z48" s="383" t="s">
        <v>258</v>
      </c>
      <c r="AA48" s="384"/>
      <c r="AB48" s="352" t="s">
        <v>70</v>
      </c>
      <c r="AC48" s="353"/>
      <c r="AD48" s="353"/>
      <c r="AE48" s="134">
        <f>VLOOKUP(AE46,Systeemgegevens!C3:E14,3)/100</f>
        <v>0.40380000000000005</v>
      </c>
      <c r="AG48" s="352" t="s">
        <v>72</v>
      </c>
      <c r="AH48" s="353"/>
      <c r="AI48" s="353"/>
      <c r="AJ48" s="353"/>
      <c r="AK48" s="133">
        <f>X42*1.2434/1850</f>
        <v>8.5597067427027032</v>
      </c>
      <c r="AV48" s="18" t="s">
        <v>61</v>
      </c>
      <c r="AW48" s="291">
        <f>IF(($R$41=AV48)*AND($R$42&lt;&gt;""),VLOOKUP($R$42,'Barèmes police'!$BM$4:$BN$39,2),0)</f>
        <v>0</v>
      </c>
    </row>
    <row r="49" spans="2:49" ht="12.75" customHeight="1" x14ac:dyDescent="0.2">
      <c r="B49" s="17"/>
      <c r="F49" s="17"/>
      <c r="G49" s="17"/>
      <c r="J49" s="236" t="s">
        <v>221</v>
      </c>
      <c r="K49" s="237"/>
      <c r="L49" s="238"/>
      <c r="M49" s="244">
        <f>COUNTIF($S$8:$S$38, "1")</f>
        <v>0</v>
      </c>
      <c r="N49" s="225"/>
      <c r="O49" s="362" t="s">
        <v>225</v>
      </c>
      <c r="P49" s="363"/>
      <c r="Q49" s="363"/>
      <c r="R49" s="245">
        <f>COUNTIF($S$8:$S$38, "2")</f>
        <v>0</v>
      </c>
      <c r="S49" s="354">
        <f>IF($R$2="Oui",(M49*AE54*Z42+(R49*Z42*6.2)),0)</f>
        <v>0</v>
      </c>
      <c r="T49" s="355"/>
      <c r="U49" s="355"/>
      <c r="V49" s="233" t="s">
        <v>55</v>
      </c>
      <c r="W49" s="234">
        <f>IF($R$3="Oui",(M49*AE54*Z42+(R49*AE54*6.2)),0)</f>
        <v>0</v>
      </c>
      <c r="X49" s="235" t="s">
        <v>55</v>
      </c>
      <c r="Y49" s="23"/>
      <c r="Z49" s="364">
        <v>0.23</v>
      </c>
      <c r="AA49" s="365"/>
      <c r="AB49" s="348" t="s">
        <v>71</v>
      </c>
      <c r="AC49" s="349"/>
      <c r="AD49" s="349"/>
      <c r="AE49" s="135">
        <f>1-AE48</f>
        <v>0.59619999999999995</v>
      </c>
      <c r="AG49" s="358" t="s">
        <v>73</v>
      </c>
      <c r="AH49" s="359"/>
      <c r="AI49" s="359"/>
      <c r="AJ49" s="359"/>
      <c r="AK49" s="121">
        <f>AK48*0.9645*AE49*1.45</f>
        <v>7.1370886606880939</v>
      </c>
      <c r="AV49" s="18" t="s">
        <v>263</v>
      </c>
      <c r="AW49" s="292">
        <f>IF(($R$41=AV49)*AND($R$42&lt;&gt;""),VLOOKUP($R$42,'Barèmes police'!$AX$40:$AY$70,2),0)</f>
        <v>0</v>
      </c>
    </row>
    <row r="50" spans="2:49" ht="12.75" customHeight="1" x14ac:dyDescent="0.2">
      <c r="B50" s="372" t="s">
        <v>207</v>
      </c>
      <c r="C50" s="373"/>
      <c r="D50" s="373"/>
      <c r="E50" s="373"/>
      <c r="F50" s="373"/>
      <c r="G50" s="374"/>
      <c r="J50" s="236" t="s">
        <v>222</v>
      </c>
      <c r="K50" s="237"/>
      <c r="L50" s="238"/>
      <c r="M50" s="244">
        <f>COUNTIF($T$8:$T$38,"1")</f>
        <v>0</v>
      </c>
      <c r="N50" s="225"/>
      <c r="O50" s="362" t="s">
        <v>226</v>
      </c>
      <c r="P50" s="363"/>
      <c r="Q50" s="363"/>
      <c r="R50" s="245">
        <f>COUNTIF($T$8:$T$38,"2")</f>
        <v>0</v>
      </c>
      <c r="S50" s="354">
        <f>IF($R$2="Oui",(M50*AE55*Z42+(R50*Z42*3.48)),0)</f>
        <v>0</v>
      </c>
      <c r="T50" s="355"/>
      <c r="U50" s="355"/>
      <c r="V50" s="233" t="s">
        <v>55</v>
      </c>
      <c r="W50" s="234">
        <f>IF($R$3="Oui",(M50*AE55*Z42+(R50*AE55*6.2)),0)</f>
        <v>0</v>
      </c>
      <c r="X50" s="235" t="s">
        <v>55</v>
      </c>
      <c r="Y50" s="23"/>
      <c r="Z50" s="246"/>
      <c r="AA50" s="246"/>
      <c r="AB50" s="148"/>
      <c r="AC50" s="148"/>
      <c r="AD50" s="148"/>
      <c r="AE50" s="153"/>
      <c r="AG50" s="147"/>
      <c r="AH50" s="148"/>
      <c r="AI50" s="148"/>
      <c r="AJ50" s="148"/>
      <c r="AK50" s="121"/>
      <c r="AV50" s="18" t="s">
        <v>264</v>
      </c>
      <c r="AW50" s="292">
        <f>IF(($R$41=AV50)*AND($R$42&lt;&gt;""),VLOOKUP($R$42,'Barèmes police'!$BA$40:$BB$70,2),0)</f>
        <v>0</v>
      </c>
    </row>
    <row r="51" spans="2:49" ht="12.75" customHeight="1" x14ac:dyDescent="0.2">
      <c r="B51" s="395" t="s">
        <v>208</v>
      </c>
      <c r="C51" s="396"/>
      <c r="D51" s="396"/>
      <c r="E51" s="396"/>
      <c r="F51" s="151"/>
      <c r="G51" s="152"/>
      <c r="J51" s="236" t="s">
        <v>227</v>
      </c>
      <c r="K51" s="237"/>
      <c r="L51" s="238"/>
      <c r="M51" s="239">
        <f>IF(P38-F52&gt;=1/49,IF(AND(O38="+",F48="Oui"),IF(MINUTE(P38-F52)&gt;=30,P38-F52+(TIME(1,0,0))-TIME(0,MINUTE(P38-F52),0),P38-F52-TIME(0,MINUTE(P38-F52),0)),0),0)</f>
        <v>0</v>
      </c>
      <c r="N51" s="225" t="s">
        <v>190</v>
      </c>
      <c r="O51" s="360" t="s">
        <v>253</v>
      </c>
      <c r="P51" s="360"/>
      <c r="Q51" s="360"/>
      <c r="R51" s="361"/>
      <c r="S51" s="354">
        <f>IF($R$2="Oui",M51*AK44*24,0)</f>
        <v>0</v>
      </c>
      <c r="T51" s="355"/>
      <c r="U51" s="355"/>
      <c r="V51" s="233" t="s">
        <v>55</v>
      </c>
      <c r="W51" s="234">
        <f>IF($R$3="Oui",M51*AK51*24,0)</f>
        <v>0</v>
      </c>
      <c r="X51" s="235" t="s">
        <v>55</v>
      </c>
      <c r="Y51" s="23"/>
      <c r="Z51" s="246"/>
      <c r="AA51" s="246"/>
      <c r="AG51" s="358" t="s">
        <v>74</v>
      </c>
      <c r="AH51" s="359"/>
      <c r="AI51" s="359"/>
      <c r="AJ51" s="359"/>
      <c r="AK51" s="121">
        <f>(W42*1.2434/1850)*0.9645*AE49</f>
        <v>5.1824281750374874</v>
      </c>
      <c r="AV51" s="18" t="s">
        <v>265</v>
      </c>
      <c r="AW51" s="292">
        <f>IF(($R$41=AV51)*AND($R$42&lt;&gt;""),VLOOKUP($R$42,'Barèmes police'!$BD$40:$BE$70,2),0)</f>
        <v>0</v>
      </c>
    </row>
    <row r="52" spans="2:49" ht="12.75" customHeight="1" x14ac:dyDescent="0.2">
      <c r="B52" s="385" t="s">
        <v>209</v>
      </c>
      <c r="C52" s="386"/>
      <c r="D52" s="386"/>
      <c r="E52" s="386"/>
      <c r="F52" s="356">
        <v>0</v>
      </c>
      <c r="G52" s="357"/>
      <c r="J52" s="236" t="s">
        <v>228</v>
      </c>
      <c r="K52" s="237"/>
      <c r="L52" s="238"/>
      <c r="M52" s="247">
        <f>SUM(AT8:AT39)</f>
        <v>0</v>
      </c>
      <c r="N52" s="225" t="s">
        <v>214</v>
      </c>
      <c r="O52" s="360"/>
      <c r="P52" s="360"/>
      <c r="Q52" s="360"/>
      <c r="R52" s="361"/>
      <c r="S52" s="354">
        <f>IF($R$2="Oui",M52*6.7*Z42,0)</f>
        <v>0</v>
      </c>
      <c r="T52" s="355"/>
      <c r="U52" s="355"/>
      <c r="V52" s="233" t="s">
        <v>55</v>
      </c>
      <c r="W52" s="234">
        <f>IF($R$3="Oui",M52*6.7*Z42,0)</f>
        <v>0</v>
      </c>
      <c r="X52" s="235" t="s">
        <v>55</v>
      </c>
      <c r="Y52" s="23"/>
      <c r="Z52" s="246"/>
      <c r="AA52" s="246"/>
      <c r="AB52" s="352" t="s">
        <v>79</v>
      </c>
      <c r="AC52" s="353"/>
      <c r="AD52" s="353"/>
      <c r="AE52" s="133">
        <v>1.24</v>
      </c>
      <c r="AG52" s="348" t="s">
        <v>76</v>
      </c>
      <c r="AH52" s="349"/>
      <c r="AI52" s="349"/>
      <c r="AJ52" s="349"/>
      <c r="AK52" s="131">
        <f>AK48*0.325*0.9645*AE49</f>
        <v>1.5996922860162968</v>
      </c>
      <c r="AV52" s="18" t="s">
        <v>266</v>
      </c>
      <c r="AW52" s="292">
        <f>IF(($R$41=AV52)*AND($R$42&lt;&gt;""),VLOOKUP($R$42,'Barèmes police'!$BG$40:$BH$70,2),0)</f>
        <v>0</v>
      </c>
    </row>
    <row r="53" spans="2:49" ht="12.75" customHeight="1" x14ac:dyDescent="0.2">
      <c r="B53" s="387" t="s">
        <v>210</v>
      </c>
      <c r="C53" s="388"/>
      <c r="D53" s="388"/>
      <c r="E53" s="388"/>
      <c r="F53" s="350">
        <v>0</v>
      </c>
      <c r="G53" s="351"/>
      <c r="J53" s="236" t="s">
        <v>229</v>
      </c>
      <c r="K53" s="237"/>
      <c r="L53" s="238"/>
      <c r="M53" s="244">
        <f>SUM(Y8:Y39)</f>
        <v>0</v>
      </c>
      <c r="N53" s="237" t="s">
        <v>56</v>
      </c>
      <c r="O53" s="267"/>
      <c r="P53" s="267"/>
      <c r="Q53" s="267"/>
      <c r="R53" s="268"/>
      <c r="S53" s="354">
        <f>IF($R$2="Oui",M53*Z49,0)</f>
        <v>0</v>
      </c>
      <c r="T53" s="355"/>
      <c r="U53" s="355"/>
      <c r="V53" s="233" t="s">
        <v>55</v>
      </c>
      <c r="W53" s="234">
        <f>IF($R$3="Oui",M53*Z49,0)</f>
        <v>0</v>
      </c>
      <c r="X53" s="235" t="s">
        <v>55</v>
      </c>
      <c r="Y53" s="23"/>
      <c r="Z53" s="246"/>
      <c r="AA53" s="246"/>
      <c r="AB53" s="358" t="s">
        <v>80</v>
      </c>
      <c r="AC53" s="359"/>
      <c r="AD53" s="359"/>
      <c r="AE53" s="121">
        <v>2.48</v>
      </c>
    </row>
    <row r="54" spans="2:49" ht="12.75" customHeight="1" x14ac:dyDescent="0.2">
      <c r="J54" s="236" t="s">
        <v>244</v>
      </c>
      <c r="K54" s="237"/>
      <c r="L54" s="238"/>
      <c r="M54" s="239">
        <f>IF(MINUTE(SUM(Z8:Z39))&gt;=30,SUM(Z8:Z39)+(TIME(1,0,0))-TIME(0,MINUTE(SUM(Z8:Z39)),0),SUM(Z8:Z39)-TIME(0,MINUTE(SUM(Z8:Z39)),0))</f>
        <v>0</v>
      </c>
      <c r="N54" s="237" t="s">
        <v>190</v>
      </c>
      <c r="O54" s="248"/>
      <c r="P54" s="248"/>
      <c r="Q54" s="248"/>
      <c r="R54" s="249"/>
      <c r="S54" s="354">
        <f>IF($R$2="Oui",M54*AK54*24,0)</f>
        <v>0</v>
      </c>
      <c r="T54" s="355"/>
      <c r="U54" s="355"/>
      <c r="V54" s="233" t="s">
        <v>55</v>
      </c>
      <c r="W54" s="234">
        <f>IF($R$3="Oui",M54*AK54*24,0)</f>
        <v>0</v>
      </c>
      <c r="X54" s="235" t="s">
        <v>55</v>
      </c>
      <c r="Y54" s="23"/>
      <c r="Z54" s="246"/>
      <c r="AA54" s="246"/>
      <c r="AB54" s="358" t="s">
        <v>81</v>
      </c>
      <c r="AC54" s="359"/>
      <c r="AD54" s="359"/>
      <c r="AE54" s="121">
        <v>2.48</v>
      </c>
      <c r="AG54" s="352" t="s">
        <v>83</v>
      </c>
      <c r="AH54" s="353"/>
      <c r="AI54" s="353"/>
      <c r="AJ54" s="353"/>
      <c r="AK54" s="130">
        <f>AK44/24</f>
        <v>0.38846514804107962</v>
      </c>
    </row>
    <row r="55" spans="2:49" ht="12.75" customHeight="1" x14ac:dyDescent="0.2">
      <c r="J55" s="236" t="s">
        <v>230</v>
      </c>
      <c r="K55" s="237"/>
      <c r="L55" s="238"/>
      <c r="M55" s="239">
        <f>IF(MINUTE(SUM(AA8:AA39))&gt;=30,SUM(AA8:AA39)+(TIME(1,0,0))-TIME(0,MINUTE(SUM(AA8:AA39)),0),SUM(AA8:AA39)-TIME(0,MINUTE(SUM(AA8:AA39)),0))</f>
        <v>0</v>
      </c>
      <c r="N55" s="237" t="s">
        <v>190</v>
      </c>
      <c r="O55" s="248"/>
      <c r="P55" s="248"/>
      <c r="Q55" s="248"/>
      <c r="R55" s="249"/>
      <c r="S55" s="354">
        <f>IF($R$2="Oui",M55*AK55*24,0)</f>
        <v>0</v>
      </c>
      <c r="T55" s="355"/>
      <c r="U55" s="355"/>
      <c r="V55" s="233" t="s">
        <v>55</v>
      </c>
      <c r="W55" s="234">
        <f>IF($R$3="Oui",M55*AK55*24,0)</f>
        <v>0</v>
      </c>
      <c r="X55" s="235" t="s">
        <v>55</v>
      </c>
      <c r="Y55" s="23"/>
      <c r="Z55" s="246"/>
      <c r="AA55" s="246"/>
      <c r="AB55" s="348" t="s">
        <v>82</v>
      </c>
      <c r="AC55" s="349"/>
      <c r="AD55" s="349"/>
      <c r="AE55" s="131">
        <v>1.74</v>
      </c>
      <c r="AG55" s="348" t="s">
        <v>84</v>
      </c>
      <c r="AH55" s="349"/>
      <c r="AI55" s="349"/>
      <c r="AJ55" s="349"/>
      <c r="AK55" s="132">
        <f>AK44/15</f>
        <v>0.62154423686572735</v>
      </c>
    </row>
    <row r="56" spans="2:49" ht="12.75" customHeight="1" x14ac:dyDescent="0.2">
      <c r="J56" s="223" t="s">
        <v>57</v>
      </c>
      <c r="K56" s="224"/>
      <c r="L56" s="250"/>
      <c r="M56" s="251">
        <f>SUM(AS8:AS39)</f>
        <v>0</v>
      </c>
      <c r="N56" s="225" t="s">
        <v>214</v>
      </c>
      <c r="O56" s="252"/>
      <c r="P56" s="252"/>
      <c r="Q56" s="252"/>
      <c r="R56" s="253"/>
      <c r="S56" s="471">
        <f>IF($R$2="Oui",M56*2.81*Z42*AE49,0)</f>
        <v>0</v>
      </c>
      <c r="T56" s="472"/>
      <c r="U56" s="472"/>
      <c r="V56" s="233" t="s">
        <v>55</v>
      </c>
      <c r="W56" s="234">
        <f>IF($R$3="Oui",M56*2.81*Z42*AE49,0)</f>
        <v>0</v>
      </c>
      <c r="X56" s="235" t="s">
        <v>55</v>
      </c>
      <c r="Y56" s="23"/>
      <c r="Z56" s="246"/>
      <c r="AA56" s="246"/>
    </row>
    <row r="57" spans="2:49" ht="12.75" customHeight="1" x14ac:dyDescent="0.2">
      <c r="J57" s="254"/>
      <c r="K57" s="254"/>
      <c r="L57" s="24"/>
      <c r="M57" s="255"/>
      <c r="N57" s="256"/>
      <c r="O57" s="257"/>
      <c r="P57" s="23"/>
      <c r="Q57" s="258"/>
      <c r="R57" s="259" t="s">
        <v>262</v>
      </c>
      <c r="S57" s="473">
        <f>IF($R$2="Oui",SUM(S43:U56),0)</f>
        <v>0</v>
      </c>
      <c r="T57" s="474"/>
      <c r="U57" s="474"/>
      <c r="V57" s="260" t="s">
        <v>55</v>
      </c>
      <c r="W57" s="261">
        <f>IF($R$3="Oui",SUM(W43:W56),0)</f>
        <v>0</v>
      </c>
      <c r="X57" s="262" t="s">
        <v>55</v>
      </c>
      <c r="Y57" s="23"/>
      <c r="Z57" s="246"/>
      <c r="AA57" s="246"/>
    </row>
    <row r="58" spans="2:49" ht="12.75" customHeight="1" x14ac:dyDescent="0.2">
      <c r="Y58" s="17"/>
      <c r="AB58" s="448" t="s">
        <v>164</v>
      </c>
      <c r="AC58" s="449"/>
      <c r="AD58" s="450"/>
    </row>
    <row r="59" spans="2:49" ht="12.75" customHeight="1" x14ac:dyDescent="0.2">
      <c r="AB59" s="451">
        <f>Configuration!$H$30</f>
        <v>0</v>
      </c>
      <c r="AC59" s="452"/>
      <c r="AD59" s="453"/>
    </row>
    <row r="70" spans="48:49" ht="12.75" customHeight="1" x14ac:dyDescent="0.2">
      <c r="AV70" s="141" t="s">
        <v>270</v>
      </c>
      <c r="AW70" s="290">
        <f>IF(($R$41=AV70)*AND($R$42&lt;&gt;""),VLOOKUP($R$42,'Barèmes CALOG'!$B$4:$C$34,2),0)</f>
        <v>0</v>
      </c>
    </row>
    <row r="71" spans="48:49" ht="12.75" customHeight="1" x14ac:dyDescent="0.2">
      <c r="AV71" s="141" t="s">
        <v>271</v>
      </c>
      <c r="AW71" s="290">
        <f>IF(($R$41=AV71)*AND($R$42&lt;&gt;""),VLOOKUP($R$42,'Barèmes CALOG'!$E$4:$F$34,2),0)</f>
        <v>0</v>
      </c>
    </row>
    <row r="72" spans="48:49" ht="12.75" customHeight="1" x14ac:dyDescent="0.2">
      <c r="AV72" s="141" t="s">
        <v>272</v>
      </c>
      <c r="AW72" s="290">
        <f>IF(($R$41=AV72)*AND($R$42&lt;&gt;""),VLOOKUP($R$42,'Barèmes CALOG'!$H$4:$I$34,2),0)</f>
        <v>0</v>
      </c>
    </row>
    <row r="73" spans="48:49" ht="12.75" customHeight="1" x14ac:dyDescent="0.2">
      <c r="AV73" s="141" t="s">
        <v>273</v>
      </c>
      <c r="AW73" s="290">
        <f>IF(($R$41=AV73)*AND($R$42&lt;&gt;""),VLOOKUP($R$42,'Barèmes CALOG'!$K$4:$L$34,2),0)</f>
        <v>0</v>
      </c>
    </row>
    <row r="74" spans="48:49" ht="12.75" customHeight="1" x14ac:dyDescent="0.2">
      <c r="AV74" s="141" t="s">
        <v>274</v>
      </c>
      <c r="AW74" s="290">
        <f>IF(($R$41=AV74)*AND($R$42&lt;&gt;""),VLOOKUP($R$42,'Barèmes CALOG'!$N$4:$O$34,2),0)</f>
        <v>0</v>
      </c>
    </row>
    <row r="75" spans="48:49" ht="12.75" customHeight="1" x14ac:dyDescent="0.2">
      <c r="AV75" s="141" t="s">
        <v>275</v>
      </c>
      <c r="AW75" s="290">
        <f>IF(($R$41=AV75)*AND($R$42&lt;&gt;""),VLOOKUP($R$42,'Barèmes CALOG'!$Q$4:$R$34,2),0)</f>
        <v>0</v>
      </c>
    </row>
    <row r="76" spans="48:49" ht="12.75" customHeight="1" x14ac:dyDescent="0.2">
      <c r="AV76" s="141" t="s">
        <v>276</v>
      </c>
      <c r="AW76" s="290">
        <f>IF(($R$41=AV76)*AND($R$42&lt;&gt;""),VLOOKUP($R$42,'Barèmes CALOG'!$T$4:$U$34,2),0)</f>
        <v>0</v>
      </c>
    </row>
    <row r="77" spans="48:49" ht="12.75" customHeight="1" x14ac:dyDescent="0.2">
      <c r="AV77" s="141" t="s">
        <v>277</v>
      </c>
      <c r="AW77" s="290">
        <f>IF(($R$41=AV77)*AND($R$42&lt;&gt;""),VLOOKUP($R$42,'Barèmes CALOG'!$W$4:$X$34,2),0)</f>
        <v>0</v>
      </c>
    </row>
    <row r="78" spans="48:49" ht="12.75" customHeight="1" x14ac:dyDescent="0.2">
      <c r="AV78" s="141" t="s">
        <v>278</v>
      </c>
      <c r="AW78" s="290">
        <f>IF(($R$41=AV78)*AND($R$42&lt;&gt;""),VLOOKUP($R$42,'Barèmes CALOG'!$Z$4:$AA$34,2),0)</f>
        <v>0</v>
      </c>
    </row>
    <row r="79" spans="48:49" ht="12.75" customHeight="1" x14ac:dyDescent="0.2">
      <c r="AV79" s="141" t="s">
        <v>279</v>
      </c>
      <c r="AW79" s="290">
        <f>IF(($R$41=AV79)*AND($R$42&lt;&gt;""),VLOOKUP($R$42,'Barèmes CALOG'!$AC$4:$AD$34,2),0)</f>
        <v>0</v>
      </c>
    </row>
    <row r="80" spans="48:49" ht="12.75" customHeight="1" x14ac:dyDescent="0.2">
      <c r="AV80" s="141" t="s">
        <v>280</v>
      </c>
      <c r="AW80" s="290">
        <f>IF(($R$41=AV80)*AND($R$42&lt;&gt;""),VLOOKUP($R$42,'Barèmes CALOG'!$AF$4:$AG$34,2),0)</f>
        <v>0</v>
      </c>
    </row>
    <row r="81" spans="48:49" ht="12.75" customHeight="1" x14ac:dyDescent="0.2">
      <c r="AV81" s="141" t="s">
        <v>281</v>
      </c>
      <c r="AW81" s="290">
        <f>IF(($R$41=AV81)*AND($R$42&lt;&gt;""),VLOOKUP($R$42,'Barèmes CALOG'!$AI$4:$AJ$34,2),0)</f>
        <v>0</v>
      </c>
    </row>
    <row r="82" spans="48:49" ht="12.75" customHeight="1" x14ac:dyDescent="0.2">
      <c r="AV82" s="141" t="s">
        <v>282</v>
      </c>
      <c r="AW82" s="290">
        <f>IF(($R$41=AV82)*AND($R$42&lt;&gt;""),VLOOKUP($R$42,'Barèmes CALOG'!$AL$4:$AM$34,2),0)</f>
        <v>0</v>
      </c>
    </row>
    <row r="83" spans="48:49" ht="12.75" customHeight="1" x14ac:dyDescent="0.2">
      <c r="AV83" s="141" t="s">
        <v>283</v>
      </c>
      <c r="AW83" s="290">
        <f>IF(($R$41=AV83)*AND($R$42&lt;&gt;""),VLOOKUP($R$42,'Barèmes CALOG'!$AO$4:$AP$34,2),0)</f>
        <v>0</v>
      </c>
    </row>
    <row r="84" spans="48:49" ht="12.75" customHeight="1" x14ac:dyDescent="0.2">
      <c r="AV84" s="141" t="s">
        <v>284</v>
      </c>
      <c r="AW84" s="290">
        <f>IF(($R$41=AV84)*AND($R$42&lt;&gt;""),VLOOKUP($R$42,'Barèmes CALOG'!$AR$4:$AS$34,2),0)</f>
        <v>0</v>
      </c>
    </row>
    <row r="85" spans="48:49" ht="12.75" customHeight="1" x14ac:dyDescent="0.2">
      <c r="AV85" s="141" t="s">
        <v>285</v>
      </c>
      <c r="AW85" s="290">
        <f>IF(($R$41=AV85)*AND($R$42&lt;&gt;""),VLOOKUP($R$42,'Barèmes CALOG'!$AU$4:$AV$34,2),0)</f>
        <v>0</v>
      </c>
    </row>
    <row r="86" spans="48:49" ht="12.75" customHeight="1" x14ac:dyDescent="0.2">
      <c r="AV86" s="141" t="s">
        <v>286</v>
      </c>
      <c r="AW86" s="290">
        <f>IF(($R$41=AV86)*AND($R$42&lt;&gt;""),VLOOKUP($R$42,'Barèmes CALOG'!$AX$4:$AY$34,2),0)</f>
        <v>0</v>
      </c>
    </row>
    <row r="87" spans="48:49" ht="12.75" customHeight="1" x14ac:dyDescent="0.2">
      <c r="AV87" s="141" t="s">
        <v>287</v>
      </c>
      <c r="AW87" s="290">
        <f>IF(($R$41=AV87)*AND($R$42&lt;&gt;""),VLOOKUP($R$42,'Barèmes CALOG'!$BA$4:$BB$34,2),0)</f>
        <v>0</v>
      </c>
    </row>
    <row r="88" spans="48:49" ht="12.75" customHeight="1" x14ac:dyDescent="0.2">
      <c r="AV88" s="141" t="s">
        <v>288</v>
      </c>
      <c r="AW88" s="290">
        <f>IF(($R$41=AV88)*AND($R$42&lt;&gt;""),VLOOKUP($R$42,'Barèmes CALOG'!$BD$4:$BE$34,2),0)</f>
        <v>0</v>
      </c>
    </row>
    <row r="89" spans="48:49" ht="12.75" customHeight="1" x14ac:dyDescent="0.2">
      <c r="AV89" s="141" t="s">
        <v>289</v>
      </c>
      <c r="AW89" s="290">
        <f>IF(($R$41=AV89)*AND($R$42&lt;&gt;""),VLOOKUP($R$42,'Barèmes CALOG'!$BG$4:$BH$34,2),0)</f>
        <v>0</v>
      </c>
    </row>
    <row r="90" spans="48:49" ht="12.75" customHeight="1" x14ac:dyDescent="0.2">
      <c r="AV90" s="141" t="s">
        <v>290</v>
      </c>
      <c r="AW90" s="290">
        <f>IF(($R$41=AV90)*AND($R$42&lt;&gt;""),VLOOKUP($R$42,'Barèmes CALOG'!$BJ$4:$BK$34,2),0)</f>
        <v>0</v>
      </c>
    </row>
    <row r="91" spans="48:49" ht="12.75" customHeight="1" x14ac:dyDescent="0.2">
      <c r="AV91" s="141" t="s">
        <v>291</v>
      </c>
      <c r="AW91" s="290">
        <f>IF(($R$41=AV91)*AND($R$42&lt;&gt;""),VLOOKUP($R$42,'Barèmes CALOG'!$BM$4:$BN$34,2),0)</f>
        <v>0</v>
      </c>
    </row>
    <row r="92" spans="48:49" ht="12.75" customHeight="1" x14ac:dyDescent="0.2">
      <c r="AV92" s="141" t="s">
        <v>292</v>
      </c>
      <c r="AW92" s="290">
        <f>IF(($R$41=AV92)*AND($R$42&lt;&gt;""),VLOOKUP($R$42,'Barèmes CALOG'!$BP$4:$BQ$34,2),0)</f>
        <v>0</v>
      </c>
    </row>
    <row r="93" spans="48:49" ht="12.75" customHeight="1" x14ac:dyDescent="0.2">
      <c r="AV93" s="141" t="s">
        <v>293</v>
      </c>
      <c r="AW93" s="290">
        <f>IF(($R$41=AV93)*AND($R$42&lt;&gt;""),VLOOKUP($R$42,'Barèmes CALOG'!$BS$4:$BT$34,2),0)</f>
        <v>0</v>
      </c>
    </row>
    <row r="94" spans="48:49" ht="12.75" customHeight="1" x14ac:dyDescent="0.2">
      <c r="AV94" s="141" t="s">
        <v>294</v>
      </c>
      <c r="AW94" s="290">
        <f>IF(($R$41=AV94)*AND($R$42&lt;&gt;""),VLOOKUP($R$42,'Barèmes CALOG'!$BV$4:$BW$34,2),0)</f>
        <v>0</v>
      </c>
    </row>
    <row r="95" spans="48:49" ht="12.75" customHeight="1" x14ac:dyDescent="0.2">
      <c r="AV95" s="141" t="s">
        <v>295</v>
      </c>
      <c r="AW95" s="290">
        <f>IF(($R$41=AV95)*AND($R$42&lt;&gt;""),VLOOKUP($R$42,'Barèmes CALOG'!$BY$4:$BZ$34,2),0)</f>
        <v>0</v>
      </c>
    </row>
    <row r="96" spans="48:49" ht="12.75" customHeight="1" x14ac:dyDescent="0.2">
      <c r="AV96" s="141" t="s">
        <v>296</v>
      </c>
      <c r="AW96" s="290">
        <f>IF(($R$41=AV96)*AND($R$42&lt;&gt;""),VLOOKUP($R$42,'Barèmes CALOG'!$CB$4:$CC$34,2),0)</f>
        <v>0</v>
      </c>
    </row>
    <row r="97" spans="48:49" ht="12.75" customHeight="1" x14ac:dyDescent="0.2">
      <c r="AV97" s="141" t="s">
        <v>297</v>
      </c>
      <c r="AW97" s="290">
        <f>IF(($R$41=AV97)*AND($R$42&lt;&gt;""),VLOOKUP($R$42,'Barèmes CALOG'!$CE$4:$CF$34,2),0)</f>
        <v>0</v>
      </c>
    </row>
    <row r="98" spans="48:49" ht="12.75" customHeight="1" x14ac:dyDescent="0.2">
      <c r="AV98" s="141" t="s">
        <v>298</v>
      </c>
      <c r="AW98" s="290">
        <f>IF(($R$41=AV98)*AND($R$42&lt;&gt;""),VLOOKUP($R$42,'Barèmes CALOG'!$CH$4:$CI$34,2),0)</f>
        <v>0</v>
      </c>
    </row>
    <row r="99" spans="48:49" ht="12.75" customHeight="1" x14ac:dyDescent="0.2">
      <c r="AV99" s="141" t="s">
        <v>299</v>
      </c>
      <c r="AW99" s="290">
        <f>IF(($R$41=AV99)*AND($R$42&lt;&gt;""),VLOOKUP($R$42,'Barèmes CALOG'!$CK$4:$CL$34,2),0)</f>
        <v>0</v>
      </c>
    </row>
    <row r="100" spans="48:49" ht="12.75" customHeight="1" x14ac:dyDescent="0.2">
      <c r="AV100" s="141" t="s">
        <v>300</v>
      </c>
      <c r="AW100" s="290">
        <f>IF(($R$41=AV100)*AND($R$42&lt;&gt;""),VLOOKUP($R$42,'Barèmes CALOG'!$CN$4:$CO$34,2),0)</f>
        <v>0</v>
      </c>
    </row>
    <row r="101" spans="48:49" ht="12.75" customHeight="1" x14ac:dyDescent="0.2">
      <c r="AV101" s="141" t="s">
        <v>301</v>
      </c>
      <c r="AW101" s="290">
        <f>IF(($R$41=AV101)*AND($R$42&lt;&gt;""),VLOOKUP($R$42,'Barèmes CALOG'!$CQ$4:$CR$34,2),0)</f>
        <v>0</v>
      </c>
    </row>
    <row r="102" spans="48:49" ht="12.75" customHeight="1" x14ac:dyDescent="0.2">
      <c r="AV102" s="141" t="s">
        <v>302</v>
      </c>
      <c r="AW102" s="290">
        <f>IF(($R$41=AV102)*AND($R$42&lt;&gt;""),VLOOKUP($R$42,'Barèmes CALOG'!$CT$4:$CU$34,2),0)</f>
        <v>0</v>
      </c>
    </row>
    <row r="103" spans="48:49" ht="12.75" customHeight="1" x14ac:dyDescent="0.2">
      <c r="AV103" s="141" t="s">
        <v>303</v>
      </c>
      <c r="AW103" s="290">
        <f>IF(($R$41=AV103)*AND($R$42&lt;&gt;""),VLOOKUP($R$42,'Barèmes CALOG'!$CW$4:$CX$34,2),0)</f>
        <v>0</v>
      </c>
    </row>
    <row r="104" spans="48:49" ht="12.75" customHeight="1" x14ac:dyDescent="0.2">
      <c r="AV104" s="141" t="s">
        <v>304</v>
      </c>
      <c r="AW104" s="290">
        <f>IF(($R$41=AV104)*AND($R$42&lt;&gt;""),VLOOKUP($R$42,'Barèmes CALOG'!$B$40:$C$70,2),0)</f>
        <v>0</v>
      </c>
    </row>
    <row r="105" spans="48:49" ht="12.75" customHeight="1" x14ac:dyDescent="0.2">
      <c r="AV105" s="141" t="s">
        <v>305</v>
      </c>
      <c r="AW105" s="290">
        <f>IF(($R$41=AV105)*AND($R$42&lt;&gt;""),VLOOKUP($R$42,'Barèmes CALOG'!$E$40:$F$70,2),0)</f>
        <v>0</v>
      </c>
    </row>
    <row r="106" spans="48:49" ht="12.75" customHeight="1" x14ac:dyDescent="0.2">
      <c r="AV106" s="141" t="s">
        <v>306</v>
      </c>
      <c r="AW106" s="290">
        <f>IF(($R$41=AV106)*AND($R$42&lt;&gt;""),VLOOKUP($R$42,'Barèmes CALOG'!$H$40:$I$70,2),0)</f>
        <v>0</v>
      </c>
    </row>
    <row r="107" spans="48:49" ht="12.75" customHeight="1" x14ac:dyDescent="0.2">
      <c r="AV107" s="141" t="s">
        <v>307</v>
      </c>
      <c r="AW107" s="290">
        <f>IF(($R$41=AV107)*AND($R$42&lt;&gt;""),VLOOKUP($R$42,'Barèmes CALOG'!$K$40:$L$70,2),0)</f>
        <v>0</v>
      </c>
    </row>
    <row r="108" spans="48:49" ht="12.75" customHeight="1" x14ac:dyDescent="0.2">
      <c r="AV108" s="141" t="s">
        <v>308</v>
      </c>
      <c r="AW108" s="290">
        <f>IF(($R$41=AV108)*AND($R$42&lt;&gt;""),VLOOKUP($R$42,'Barèmes CALOG'!$N$40:$O$70,2),0)</f>
        <v>0</v>
      </c>
    </row>
    <row r="109" spans="48:49" ht="12.75" customHeight="1" x14ac:dyDescent="0.2">
      <c r="AV109" s="141" t="s">
        <v>309</v>
      </c>
      <c r="AW109" s="290">
        <f>IF(($R$41=AV109)*AND($R$42&lt;&gt;""),VLOOKUP($R$42,'Barèmes CALOG'!$Q$40:$R$70,2),0)</f>
        <v>0</v>
      </c>
    </row>
    <row r="110" spans="48:49" ht="12.75" customHeight="1" x14ac:dyDescent="0.2">
      <c r="AV110" s="141" t="s">
        <v>310</v>
      </c>
      <c r="AW110" s="290">
        <f>IF(($R$41=AV110)*AND($R$42&lt;&gt;""),VLOOKUP($R$42,'Barèmes CALOG'!$T$40:$U$70,2),0)</f>
        <v>0</v>
      </c>
    </row>
    <row r="111" spans="48:49" ht="12.75" customHeight="1" x14ac:dyDescent="0.2">
      <c r="AV111" s="141" t="s">
        <v>311</v>
      </c>
      <c r="AW111" s="290">
        <f>IF(($R$41=AV111)*AND($R$42&lt;&gt;""),VLOOKUP($R$42,'Barèmes CALOG'!$W$40:$X$70,2),0)</f>
        <v>0</v>
      </c>
    </row>
    <row r="112" spans="48:49" ht="12.75" customHeight="1" x14ac:dyDescent="0.2">
      <c r="AV112" s="141" t="s">
        <v>312</v>
      </c>
      <c r="AW112" s="290">
        <f>IF(($R$41=AV112)*AND($R$42&lt;&gt;""),VLOOKUP($R$42,'Barèmes CALOG'!$Z$40:$AA$70,2),0)</f>
        <v>0</v>
      </c>
    </row>
    <row r="113" spans="48:49" ht="12.75" customHeight="1" x14ac:dyDescent="0.2">
      <c r="AV113" s="141" t="s">
        <v>313</v>
      </c>
      <c r="AW113" s="290">
        <f>IF(($R$41=AV113)*AND($R$42&lt;&gt;""),VLOOKUP($R$42,'Barèmes CALOG'!$AC$40:$AD$70,2),0)</f>
        <v>0</v>
      </c>
    </row>
    <row r="114" spans="48:49" ht="12.75" customHeight="1" x14ac:dyDescent="0.2">
      <c r="AV114" s="141" t="s">
        <v>314</v>
      </c>
      <c r="AW114" s="290">
        <f>IF(($R$41=AV114)*AND($R$42&lt;&gt;""),VLOOKUP($R$42,'Barèmes CALOG'!$AF$40:$AG$70,2),0)</f>
        <v>0</v>
      </c>
    </row>
    <row r="115" spans="48:49" ht="12.75" customHeight="1" x14ac:dyDescent="0.2">
      <c r="AV115" s="141" t="s">
        <v>315</v>
      </c>
      <c r="AW115" s="290">
        <f>IF(($R$41=AV115)*AND($R$42&lt;&gt;""),VLOOKUP($R$42,'Barèmes CALOG'!$AI$40:$AJ$70,2),0)</f>
        <v>0</v>
      </c>
    </row>
    <row r="116" spans="48:49" ht="12.75" customHeight="1" x14ac:dyDescent="0.2">
      <c r="AV116" s="141" t="s">
        <v>316</v>
      </c>
      <c r="AW116" s="290">
        <f>IF(($R$41=AV116)*AND($R$42&lt;&gt;""),VLOOKUP($R$42,'Barèmes CALOG'!$AL$40:$AM$70,2),0)</f>
        <v>0</v>
      </c>
    </row>
    <row r="117" spans="48:49" ht="12.75" customHeight="1" x14ac:dyDescent="0.2">
      <c r="AV117" s="141" t="s">
        <v>317</v>
      </c>
      <c r="AW117" s="290">
        <f>IF(($R$41=AV117)*AND($R$42&lt;&gt;""),VLOOKUP($R$42,'Barèmes CALOG'!$AO$40:$AP$70,2),0)</f>
        <v>0</v>
      </c>
    </row>
    <row r="118" spans="48:49" ht="12.75" customHeight="1" x14ac:dyDescent="0.2">
      <c r="AV118" s="141" t="s">
        <v>318</v>
      </c>
      <c r="AW118" s="290">
        <f>IF(($R$41=AV118)*AND($R$42&lt;&gt;""),VLOOKUP($R$42,'Barèmes CALOG'!$AR$40:$AS$70,2),0)</f>
        <v>0</v>
      </c>
    </row>
    <row r="119" spans="48:49" ht="12.75" customHeight="1" x14ac:dyDescent="0.2">
      <c r="AV119" s="141" t="s">
        <v>319</v>
      </c>
      <c r="AW119" s="290">
        <f>IF(($R$41=AV119)*AND($R$42&lt;&gt;""),VLOOKUP($R$42,'Barèmes CALOG'!$AU$40:$AV$70,2),0)</f>
        <v>0</v>
      </c>
    </row>
    <row r="120" spans="48:49" ht="12.75" customHeight="1" x14ac:dyDescent="0.2">
      <c r="AV120" s="141" t="s">
        <v>320</v>
      </c>
      <c r="AW120" s="290">
        <f>IF(($R$41=AV120)*AND($R$42&lt;&gt;""),VLOOKUP($R$42,'Barèmes CALOG'!$AX$40:$AY$70,2),0)</f>
        <v>0</v>
      </c>
    </row>
    <row r="121" spans="48:49" ht="12.75" customHeight="1" x14ac:dyDescent="0.2">
      <c r="AV121" s="141" t="s">
        <v>321</v>
      </c>
      <c r="AW121" s="290">
        <f>IF(($R$41=AV121)*AND($R$42&lt;&gt;""),VLOOKUP($R$42,'Barèmes CALOG'!$BA$40:$BB$70,2),0)</f>
        <v>0</v>
      </c>
    </row>
    <row r="122" spans="48:49" ht="12.75" customHeight="1" x14ac:dyDescent="0.2">
      <c r="AV122" s="141" t="s">
        <v>322</v>
      </c>
      <c r="AW122" s="290">
        <f>IF(($R$41=AV122)*AND($R$42&lt;&gt;""),VLOOKUP($R$42,'Barèmes CALOG'!$BD$40:$BE$70,2),0)</f>
        <v>0</v>
      </c>
    </row>
    <row r="123" spans="48:49" ht="12.75" customHeight="1" x14ac:dyDescent="0.2">
      <c r="AV123" s="141" t="s">
        <v>323</v>
      </c>
      <c r="AW123" s="290">
        <f>IF(($R$41=AV123)*AND($R$42&lt;&gt;""),VLOOKUP($R$42,'Barèmes CALOG'!$BG$40:$BH$70,2),0)</f>
        <v>0</v>
      </c>
    </row>
    <row r="124" spans="48:49" ht="12.75" customHeight="1" x14ac:dyDescent="0.2">
      <c r="AV124" s="141" t="s">
        <v>324</v>
      </c>
      <c r="AW124" s="290">
        <f>IF(($R$41=AV124)*AND($R$42&lt;&gt;""),VLOOKUP($R$42,'Barèmes CALOG'!$BJ$40:$BK$70,2),0)</f>
        <v>0</v>
      </c>
    </row>
    <row r="125" spans="48:49" ht="12.75" customHeight="1" x14ac:dyDescent="0.2">
      <c r="AV125" s="141" t="s">
        <v>325</v>
      </c>
      <c r="AW125" s="290">
        <f>IF(($R$41=AV125)*AND($R$42&lt;&gt;""),VLOOKUP($R$42,'Barèmes CALOG'!$BM$40:$BN$70,2),0)</f>
        <v>0</v>
      </c>
    </row>
    <row r="126" spans="48:49" ht="12.75" customHeight="1" x14ac:dyDescent="0.2">
      <c r="AV126" s="141" t="s">
        <v>326</v>
      </c>
      <c r="AW126" s="290">
        <f>IF(($R$41=AV126)*AND($R$42&lt;&gt;""),VLOOKUP($R$42,'Barèmes CALOG'!$BP$40:$BQ$70,2),0)</f>
        <v>0</v>
      </c>
    </row>
    <row r="127" spans="48:49" ht="12.75" customHeight="1" x14ac:dyDescent="0.2">
      <c r="AV127" s="141" t="s">
        <v>327</v>
      </c>
      <c r="AW127" s="290">
        <f>IF(($R$41=AV127)*AND($R$42&lt;&gt;""),VLOOKUP($R$42,'Barèmes CALOG'!$BS$40:$BT$70,2),0)</f>
        <v>0</v>
      </c>
    </row>
    <row r="128" spans="48:49" ht="12.75" customHeight="1" x14ac:dyDescent="0.2">
      <c r="AV128" s="141" t="s">
        <v>328</v>
      </c>
      <c r="AW128" s="290">
        <f>IF(($R$41=AV128)*AND($R$42&lt;&gt;""),VLOOKUP($R$42,'Barèmes CALOG'!$BV$40:$BW$70,2),0)</f>
        <v>0</v>
      </c>
    </row>
    <row r="129" spans="48:49" ht="12.75" customHeight="1" x14ac:dyDescent="0.2">
      <c r="AV129" s="141" t="s">
        <v>329</v>
      </c>
      <c r="AW129" s="290">
        <f>IF(($R$41=AV129)*AND($R$42&lt;&gt;""),VLOOKUP($R$42,'Barèmes CALOG'!$BY$40:$BZ$70,2),0)</f>
        <v>0</v>
      </c>
    </row>
    <row r="130" spans="48:49" ht="12.75" customHeight="1" x14ac:dyDescent="0.2">
      <c r="AV130" s="141" t="s">
        <v>330</v>
      </c>
      <c r="AW130" s="290">
        <f>IF(($R$41=AV130)*AND($R$42&lt;&gt;""),VLOOKUP($R$42,'Barèmes CALOG'!$CB$40:$CC$70,2),0)</f>
        <v>0</v>
      </c>
    </row>
    <row r="131" spans="48:49" ht="12.75" customHeight="1" x14ac:dyDescent="0.2">
      <c r="AV131" s="141" t="s">
        <v>331</v>
      </c>
      <c r="AW131" s="290">
        <f>IF(($R$41=AV131)*AND($R$42&lt;&gt;""),VLOOKUP($R$42,'Barèmes CALOG'!$CE$40:$CF$70,2),0)</f>
        <v>0</v>
      </c>
    </row>
  </sheetData>
  <sheetProtection password="EC91" sheet="1" objects="1" scenarios="1" selectLockedCells="1"/>
  <mergeCells count="124">
    <mergeCell ref="AB59:AD59"/>
    <mergeCell ref="AF4:AF7"/>
    <mergeCell ref="D2:G2"/>
    <mergeCell ref="I2:L2"/>
    <mergeCell ref="N2:Q2"/>
    <mergeCell ref="R2:S2"/>
    <mergeCell ref="D3:G3"/>
    <mergeCell ref="J3:L3"/>
    <mergeCell ref="N3:Q3"/>
    <mergeCell ref="Z42:AA42"/>
    <mergeCell ref="E43:F43"/>
    <mergeCell ref="E44:F44"/>
    <mergeCell ref="E45:F45"/>
    <mergeCell ref="E46:F46"/>
    <mergeCell ref="G42:H42"/>
    <mergeCell ref="G43:H43"/>
    <mergeCell ref="R42:S42"/>
    <mergeCell ref="S43:U43"/>
    <mergeCell ref="T42:V42"/>
    <mergeCell ref="Z41:AA41"/>
    <mergeCell ref="S44:U44"/>
    <mergeCell ref="S56:U56"/>
    <mergeCell ref="S57:U57"/>
    <mergeCell ref="B41:D41"/>
    <mergeCell ref="R3:S3"/>
    <mergeCell ref="D4:G4"/>
    <mergeCell ref="O7:P7"/>
    <mergeCell ref="AB4:AB7"/>
    <mergeCell ref="X6:X7"/>
    <mergeCell ref="Z6:Z7"/>
    <mergeCell ref="H6:I6"/>
    <mergeCell ref="F6:G6"/>
    <mergeCell ref="AB58:AD58"/>
    <mergeCell ref="B42:D42"/>
    <mergeCell ref="B43:D43"/>
    <mergeCell ref="B44:D44"/>
    <mergeCell ref="B45:D45"/>
    <mergeCell ref="W40:X40"/>
    <mergeCell ref="AV4:AV7"/>
    <mergeCell ref="B6:B7"/>
    <mergeCell ref="C6:C7"/>
    <mergeCell ref="D6:D7"/>
    <mergeCell ref="E6:E7"/>
    <mergeCell ref="AW4:AW7"/>
    <mergeCell ref="AH5:AJ5"/>
    <mergeCell ref="AK5:AN5"/>
    <mergeCell ref="AG4:AG7"/>
    <mergeCell ref="AO4:AR4"/>
    <mergeCell ref="AS4:AS7"/>
    <mergeCell ref="AT4:AT7"/>
    <mergeCell ref="AU4:AU7"/>
    <mergeCell ref="AC4:AC7"/>
    <mergeCell ref="AD4:AD7"/>
    <mergeCell ref="AE4:AE7"/>
    <mergeCell ref="J6:K6"/>
    <mergeCell ref="L6:N6"/>
    <mergeCell ref="O6:P6"/>
    <mergeCell ref="Q6:T6"/>
    <mergeCell ref="J4:L4"/>
    <mergeCell ref="E41:F41"/>
    <mergeCell ref="G44:H44"/>
    <mergeCell ref="G45:H45"/>
    <mergeCell ref="G46:H46"/>
    <mergeCell ref="S48:U48"/>
    <mergeCell ref="S49:U49"/>
    <mergeCell ref="S45:U45"/>
    <mergeCell ref="T41:V41"/>
    <mergeCell ref="R41:S41"/>
    <mergeCell ref="J41:N41"/>
    <mergeCell ref="E42:F42"/>
    <mergeCell ref="S47:U47"/>
    <mergeCell ref="G41:H41"/>
    <mergeCell ref="B52:E52"/>
    <mergeCell ref="B53:E53"/>
    <mergeCell ref="AM43:AQ43"/>
    <mergeCell ref="AB44:AD44"/>
    <mergeCell ref="AG44:AJ44"/>
    <mergeCell ref="AM44:AP44"/>
    <mergeCell ref="AQ44:AR44"/>
    <mergeCell ref="AG45:AJ45"/>
    <mergeCell ref="AM45:AP45"/>
    <mergeCell ref="B51:E51"/>
    <mergeCell ref="B46:D46"/>
    <mergeCell ref="AQ45:AR45"/>
    <mergeCell ref="AB43:AD43"/>
    <mergeCell ref="AG43:AJ43"/>
    <mergeCell ref="AB45:AD45"/>
    <mergeCell ref="AB46:AD46"/>
    <mergeCell ref="AG46:AJ46"/>
    <mergeCell ref="S51:U51"/>
    <mergeCell ref="AG51:AJ51"/>
    <mergeCell ref="Z44:AA45"/>
    <mergeCell ref="Z46:AA46"/>
    <mergeCell ref="Z48:AA48"/>
    <mergeCell ref="B48:E48"/>
    <mergeCell ref="F48:G48"/>
    <mergeCell ref="AG48:AJ48"/>
    <mergeCell ref="B50:G50"/>
    <mergeCell ref="AB49:AD49"/>
    <mergeCell ref="AG49:AJ49"/>
    <mergeCell ref="O49:Q49"/>
    <mergeCell ref="O50:Q50"/>
    <mergeCell ref="AM46:AP46"/>
    <mergeCell ref="O51:R51"/>
    <mergeCell ref="O47:Q47"/>
    <mergeCell ref="O48:Q48"/>
    <mergeCell ref="AB53:AD53"/>
    <mergeCell ref="AB48:AD48"/>
    <mergeCell ref="S53:U53"/>
    <mergeCell ref="S50:U50"/>
    <mergeCell ref="Z49:AA49"/>
    <mergeCell ref="AQ46:AR46"/>
    <mergeCell ref="AB55:AD55"/>
    <mergeCell ref="AG55:AJ55"/>
    <mergeCell ref="F53:G53"/>
    <mergeCell ref="AB52:AD52"/>
    <mergeCell ref="AG52:AJ52"/>
    <mergeCell ref="S55:U55"/>
    <mergeCell ref="F52:G52"/>
    <mergeCell ref="S52:U52"/>
    <mergeCell ref="AB54:AD54"/>
    <mergeCell ref="O52:R52"/>
    <mergeCell ref="AG54:AJ54"/>
    <mergeCell ref="S54:U54"/>
  </mergeCells>
  <conditionalFormatting sqref="B8:AA38">
    <cfRule type="expression" dxfId="22" priority="7" stopIfTrue="1">
      <formula>OR($B8="Sa",$B8="Di",$D8="Jour férié semaine",$D8="Jour de pont")</formula>
    </cfRule>
  </conditionalFormatting>
  <dataValidations count="3">
    <dataValidation type="list" allowBlank="1" showInputMessage="1" showErrorMessage="1" sqref="E8:E38" xr:uid="{00000000-0002-0000-0300-000000000000}">
      <formula1>"M,E,ME"</formula1>
    </dataValidation>
    <dataValidation type="list" allowBlank="1" showInputMessage="1" showErrorMessage="1" sqref="R2:R3 F48" xr:uid="{00000000-0002-0000-0300-000001000000}">
      <formula1>"Oui,Non"</formula1>
    </dataValidation>
    <dataValidation type="list" allowBlank="1" showInputMessage="1" showErrorMessage="1" sqref="D8:D38" xr:uid="{00000000-0002-0000-0300-000002000000}">
      <formula1>$AX$8:$AX$29</formula1>
    </dataValidation>
  </dataValidations>
  <pageMargins left="0.7" right="0.7" top="0.75" bottom="0.75" header="0.3" footer="0.3"/>
  <pageSetup paperSize="9" scale="68" fitToWidth="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BF131"/>
  <sheetViews>
    <sheetView workbookViewId="0">
      <selection activeCell="D8" sqref="D8"/>
    </sheetView>
  </sheetViews>
  <sheetFormatPr defaultRowHeight="12.75" customHeight="1" x14ac:dyDescent="0.2"/>
  <cols>
    <col min="1" max="1" width="1.42578125" style="17" customWidth="1"/>
    <col min="2" max="2" width="4" style="19" customWidth="1"/>
    <col min="3" max="3" width="6.85546875" style="17" customWidth="1"/>
    <col min="4" max="4" width="17.7109375" style="17" customWidth="1"/>
    <col min="5" max="5" width="4.42578125" style="17" customWidth="1"/>
    <col min="6" max="7" width="5.140625" style="37" customWidth="1"/>
    <col min="8" max="11" width="5.140625" style="17" customWidth="1"/>
    <col min="12" max="12" width="5.7109375" style="19" customWidth="1"/>
    <col min="13" max="13" width="6.28515625" style="19" customWidth="1"/>
    <col min="14" max="14" width="6.140625" style="18" customWidth="1"/>
    <col min="15" max="15" width="2.42578125" style="18" customWidth="1"/>
    <col min="16" max="16" width="6.42578125" style="17" customWidth="1"/>
    <col min="17" max="20" width="2.85546875" style="17" customWidth="1"/>
    <col min="21" max="21" width="5.7109375" style="17" customWidth="1"/>
    <col min="22" max="23" width="7.42578125" style="17" customWidth="1"/>
    <col min="24" max="24" width="7.7109375" style="17" customWidth="1"/>
    <col min="25" max="25" width="5.28515625" style="141" customWidth="1"/>
    <col min="26" max="26" width="6.42578125" style="141" customWidth="1"/>
    <col min="27" max="27" width="7.7109375" style="141" customWidth="1"/>
    <col min="28" max="28" width="7.85546875" style="141" hidden="1" customWidth="1"/>
    <col min="29" max="32" width="12.42578125" style="141" hidden="1" customWidth="1"/>
    <col min="33" max="33" width="8" style="141" hidden="1" customWidth="1"/>
    <col min="34" max="34" width="9.140625" style="141" hidden="1" customWidth="1"/>
    <col min="35" max="45" width="7.7109375" style="141" hidden="1" customWidth="1"/>
    <col min="46" max="48" width="12.140625" style="141" hidden="1" customWidth="1"/>
    <col min="49" max="51" width="9.85546875" style="141" hidden="1" customWidth="1"/>
    <col min="52" max="256" width="11.42578125" style="17" customWidth="1"/>
    <col min="257" max="16384" width="9.140625" style="17"/>
  </cols>
  <sheetData>
    <row r="1" spans="1:58" ht="5.25" customHeight="1" x14ac:dyDescent="0.2"/>
    <row r="2" spans="1:58" ht="12.75" customHeight="1" x14ac:dyDescent="0.2">
      <c r="D2" s="455" t="str">
        <f>CONCATENATE("Utilisateur: ",Configuration!H17)</f>
        <v xml:space="preserve">Utilisateur: </v>
      </c>
      <c r="E2" s="455"/>
      <c r="F2" s="455"/>
      <c r="G2" s="455"/>
      <c r="I2" s="456" t="s">
        <v>174</v>
      </c>
      <c r="J2" s="438"/>
      <c r="K2" s="438"/>
      <c r="L2" s="438"/>
      <c r="M2" s="18"/>
      <c r="N2" s="456" t="s">
        <v>177</v>
      </c>
      <c r="O2" s="438"/>
      <c r="P2" s="438"/>
      <c r="Q2" s="438"/>
      <c r="R2" s="439" t="s">
        <v>179</v>
      </c>
      <c r="S2" s="439"/>
      <c r="T2" s="20"/>
    </row>
    <row r="3" spans="1:58" ht="12.75" customHeight="1" x14ac:dyDescent="0.2">
      <c r="D3" s="440" t="str">
        <f>Configuration!G8</f>
        <v>OTT Tool 2024</v>
      </c>
      <c r="E3" s="440"/>
      <c r="F3" s="440"/>
      <c r="G3" s="440"/>
      <c r="I3" s="26"/>
      <c r="J3" s="438" t="s">
        <v>175</v>
      </c>
      <c r="K3" s="438"/>
      <c r="L3" s="438"/>
      <c r="M3" s="45">
        <f>IF(Jan!$F$48="Oui",Jan!F52,0)</f>
        <v>0</v>
      </c>
      <c r="N3" s="456" t="s">
        <v>178</v>
      </c>
      <c r="O3" s="438"/>
      <c r="P3" s="438"/>
      <c r="Q3" s="438"/>
      <c r="R3" s="439" t="s">
        <v>180</v>
      </c>
      <c r="S3" s="439"/>
      <c r="T3" s="20"/>
    </row>
    <row r="4" spans="1:58" ht="12.75" customHeight="1" x14ac:dyDescent="0.2">
      <c r="D4" s="440" t="s">
        <v>173</v>
      </c>
      <c r="E4" s="440"/>
      <c r="F4" s="440"/>
      <c r="G4" s="440"/>
      <c r="I4" s="20"/>
      <c r="J4" s="438" t="s">
        <v>176</v>
      </c>
      <c r="K4" s="438"/>
      <c r="L4" s="438"/>
      <c r="M4" s="45">
        <f>IF(Jan!$F$48="Oui",Jan!F53,Jan!M4)</f>
        <v>0</v>
      </c>
      <c r="N4" s="21"/>
      <c r="O4" s="19"/>
      <c r="Q4" s="18"/>
      <c r="T4" s="20"/>
      <c r="AB4" s="443" t="s">
        <v>259</v>
      </c>
      <c r="AC4" s="432" t="s">
        <v>160</v>
      </c>
      <c r="AD4" s="432" t="s">
        <v>255</v>
      </c>
      <c r="AE4" s="432" t="s">
        <v>166</v>
      </c>
      <c r="AF4" s="454" t="s">
        <v>168</v>
      </c>
      <c r="AG4" s="429" t="s">
        <v>45</v>
      </c>
      <c r="AJ4" s="121"/>
      <c r="AO4" s="426" t="s">
        <v>48</v>
      </c>
      <c r="AP4" s="427"/>
      <c r="AQ4" s="427"/>
      <c r="AR4" s="428"/>
      <c r="AS4" s="430" t="s">
        <v>52</v>
      </c>
      <c r="AT4" s="431" t="s">
        <v>53</v>
      </c>
      <c r="AU4" s="431" t="s">
        <v>60</v>
      </c>
      <c r="AV4" s="418" t="s">
        <v>62</v>
      </c>
      <c r="AW4" s="432" t="s">
        <v>63</v>
      </c>
    </row>
    <row r="5" spans="1:58" ht="12.75" customHeight="1" x14ac:dyDescent="0.2">
      <c r="B5" s="35"/>
      <c r="AB5" s="443"/>
      <c r="AC5" s="432"/>
      <c r="AD5" s="432"/>
      <c r="AE5" s="432"/>
      <c r="AF5" s="454"/>
      <c r="AG5" s="429"/>
      <c r="AH5" s="426" t="s">
        <v>47</v>
      </c>
      <c r="AI5" s="427"/>
      <c r="AJ5" s="428"/>
      <c r="AK5" s="426" t="s">
        <v>46</v>
      </c>
      <c r="AL5" s="427"/>
      <c r="AM5" s="427"/>
      <c r="AN5" s="428"/>
      <c r="AO5" s="105" t="s">
        <v>49</v>
      </c>
      <c r="AP5" s="94" t="s">
        <v>50</v>
      </c>
      <c r="AQ5" s="94" t="s">
        <v>51</v>
      </c>
      <c r="AR5" s="112" t="s">
        <v>46</v>
      </c>
      <c r="AS5" s="430"/>
      <c r="AT5" s="431"/>
      <c r="AU5" s="431"/>
      <c r="AV5" s="418"/>
      <c r="AW5" s="432"/>
    </row>
    <row r="6" spans="1:58" ht="12.75" customHeight="1" x14ac:dyDescent="0.2">
      <c r="A6" s="34"/>
      <c r="B6" s="419" t="s">
        <v>181</v>
      </c>
      <c r="C6" s="421" t="s">
        <v>182</v>
      </c>
      <c r="D6" s="421" t="s">
        <v>183</v>
      </c>
      <c r="E6" s="423" t="s">
        <v>184</v>
      </c>
      <c r="F6" s="446" t="s">
        <v>111</v>
      </c>
      <c r="G6" s="447"/>
      <c r="H6" s="433" t="s">
        <v>111</v>
      </c>
      <c r="I6" s="434"/>
      <c r="J6" s="433" t="s">
        <v>111</v>
      </c>
      <c r="K6" s="434"/>
      <c r="L6" s="433" t="s">
        <v>185</v>
      </c>
      <c r="M6" s="435"/>
      <c r="N6" s="434"/>
      <c r="O6" s="436" t="s">
        <v>41</v>
      </c>
      <c r="P6" s="437"/>
      <c r="Q6" s="433" t="s">
        <v>189</v>
      </c>
      <c r="R6" s="435"/>
      <c r="S6" s="435"/>
      <c r="T6" s="434"/>
      <c r="U6" s="27" t="s">
        <v>190</v>
      </c>
      <c r="V6" s="27" t="s">
        <v>191</v>
      </c>
      <c r="W6" s="27" t="s">
        <v>191</v>
      </c>
      <c r="X6" s="444" t="s">
        <v>192</v>
      </c>
      <c r="Y6" s="137" t="s">
        <v>195</v>
      </c>
      <c r="Z6" s="421" t="s">
        <v>245</v>
      </c>
      <c r="AA6" s="137" t="s">
        <v>246</v>
      </c>
      <c r="AB6" s="443"/>
      <c r="AC6" s="432"/>
      <c r="AD6" s="432"/>
      <c r="AE6" s="432"/>
      <c r="AF6" s="454"/>
      <c r="AG6" s="429"/>
      <c r="AH6" s="102">
        <v>0.79166666666666663</v>
      </c>
      <c r="AI6" s="100">
        <v>0</v>
      </c>
      <c r="AJ6" s="104">
        <v>0.79166666666666663</v>
      </c>
      <c r="AK6" s="120">
        <v>0.91666666666666663</v>
      </c>
      <c r="AL6" s="100">
        <v>0</v>
      </c>
      <c r="AM6" s="96">
        <v>0.79166666666666663</v>
      </c>
      <c r="AN6" s="104">
        <v>0.91666666666666663</v>
      </c>
      <c r="AO6" s="113">
        <v>0.25</v>
      </c>
      <c r="AP6" s="114">
        <v>0.5</v>
      </c>
      <c r="AQ6" s="114">
        <v>0.75</v>
      </c>
      <c r="AR6" s="115">
        <v>0</v>
      </c>
      <c r="AS6" s="430"/>
      <c r="AT6" s="431"/>
      <c r="AU6" s="431"/>
      <c r="AV6" s="418"/>
      <c r="AW6" s="432"/>
      <c r="AZ6" s="22"/>
      <c r="BA6" s="23"/>
    </row>
    <row r="7" spans="1:58" ht="12.75" customHeight="1" x14ac:dyDescent="0.2">
      <c r="A7" s="34"/>
      <c r="B7" s="420"/>
      <c r="C7" s="422"/>
      <c r="D7" s="422"/>
      <c r="E7" s="424"/>
      <c r="F7" s="38" t="s">
        <v>112</v>
      </c>
      <c r="G7" s="39" t="s">
        <v>113</v>
      </c>
      <c r="H7" s="28" t="s">
        <v>112</v>
      </c>
      <c r="I7" s="139" t="s">
        <v>113</v>
      </c>
      <c r="J7" s="28" t="s">
        <v>112</v>
      </c>
      <c r="K7" s="139" t="s">
        <v>113</v>
      </c>
      <c r="L7" s="28" t="s">
        <v>186</v>
      </c>
      <c r="M7" s="29" t="s">
        <v>187</v>
      </c>
      <c r="N7" s="139" t="s">
        <v>44</v>
      </c>
      <c r="O7" s="441" t="s">
        <v>188</v>
      </c>
      <c r="P7" s="442"/>
      <c r="Q7" s="31" t="s">
        <v>198</v>
      </c>
      <c r="R7" s="32" t="s">
        <v>42</v>
      </c>
      <c r="S7" s="32" t="s">
        <v>199</v>
      </c>
      <c r="T7" s="140" t="s">
        <v>200</v>
      </c>
      <c r="U7" s="30" t="s">
        <v>43</v>
      </c>
      <c r="V7" s="33" t="s">
        <v>193</v>
      </c>
      <c r="W7" s="33" t="s">
        <v>194</v>
      </c>
      <c r="X7" s="445"/>
      <c r="Y7" s="138" t="s">
        <v>196</v>
      </c>
      <c r="Z7" s="422"/>
      <c r="AA7" s="138" t="s">
        <v>247</v>
      </c>
      <c r="AB7" s="443"/>
      <c r="AC7" s="432"/>
      <c r="AD7" s="432"/>
      <c r="AE7" s="432"/>
      <c r="AF7" s="454"/>
      <c r="AG7" s="429"/>
      <c r="AH7" s="102">
        <v>1</v>
      </c>
      <c r="AI7" s="100">
        <v>0.29166666666666669</v>
      </c>
      <c r="AJ7" s="104">
        <v>0.29166666666666669</v>
      </c>
      <c r="AK7" s="102">
        <v>1</v>
      </c>
      <c r="AL7" s="99">
        <v>0.25</v>
      </c>
      <c r="AM7" s="95">
        <v>0.91666666666666663</v>
      </c>
      <c r="AN7" s="103">
        <v>0.25</v>
      </c>
      <c r="AO7" s="106">
        <v>0.33333333333333331</v>
      </c>
      <c r="AP7" s="96">
        <v>0.58333333333333337</v>
      </c>
      <c r="AQ7" s="96">
        <v>0.83333333333333337</v>
      </c>
      <c r="AR7" s="104">
        <v>8.3333333333333329E-2</v>
      </c>
      <c r="AS7" s="430"/>
      <c r="AT7" s="431"/>
      <c r="AU7" s="431"/>
      <c r="AV7" s="418"/>
      <c r="AW7" s="432"/>
      <c r="AZ7" s="22" t="s">
        <v>197</v>
      </c>
      <c r="BA7" s="23"/>
    </row>
    <row r="8" spans="1:58" ht="12.75" customHeight="1" x14ac:dyDescent="0.2">
      <c r="A8" s="34"/>
      <c r="B8" s="59" t="str">
        <f t="shared" ref="B8:B35" si="0">CHOOSE(WEEKDAY(C8),"Di","Lu","Ma","Me","Je","Ve","Sa")</f>
        <v>Je</v>
      </c>
      <c r="C8" s="60">
        <f>DATE(RIGHT(Configuration!$G$8,4),2,1)</f>
        <v>45323</v>
      </c>
      <c r="D8" s="61"/>
      <c r="E8" s="62"/>
      <c r="F8" s="63"/>
      <c r="G8" s="64"/>
      <c r="H8" s="63"/>
      <c r="I8" s="64"/>
      <c r="J8" s="63"/>
      <c r="K8" s="64"/>
      <c r="L8" s="40">
        <f t="shared" ref="L8:L35" si="1">(G8-F8)+(I8-H8)+(K8-J8)+SUM(AB8,AC8,AD8,AE8,AF8,AG8)</f>
        <v>0</v>
      </c>
      <c r="M8" s="65">
        <f>L8+M3+IF(Jan!F48="Non",Jan!M38,0)</f>
        <v>0.31666666666666665</v>
      </c>
      <c r="N8" s="66">
        <f>IF(AND(D8&lt;&gt;"Jour libre 4/5",B8&lt;&gt;"Sa",B8&lt;&gt;"Di"),SUM(N7,Configuration!$H$41),SUM(N7))+IF(Jan!F48="Non",Jan!N38,0)</f>
        <v>7.5999999999999961</v>
      </c>
      <c r="O8" s="48" t="str">
        <f>IF(M8-N8-$M$4&gt;=0,"+","-")</f>
        <v>-</v>
      </c>
      <c r="P8" s="67">
        <f>ABS(M8-N8-$M$4)</f>
        <v>7.2833333333333297</v>
      </c>
      <c r="Q8" s="164">
        <f>AO8</f>
        <v>0</v>
      </c>
      <c r="R8" s="165">
        <f>AP8</f>
        <v>0</v>
      </c>
      <c r="S8" s="165">
        <f>AQ8</f>
        <v>0</v>
      </c>
      <c r="T8" s="166">
        <f>AR8</f>
        <v>0</v>
      </c>
      <c r="U8" s="93">
        <f t="shared" ref="U8:U36" si="2">IF(OR(AND(D8="Jour férié semaine",((G8-F8)+(I8-H8)+(K8-J8&gt;0))),B8="Sa",B8="Di"),L8,0)</f>
        <v>0</v>
      </c>
      <c r="V8" s="93">
        <f t="shared" ref="V8:V35" si="3">IF($R$2="Oui",AM8,0)</f>
        <v>0</v>
      </c>
      <c r="W8" s="93">
        <f t="shared" ref="W8:W35" si="4">IF($R$2="Oui",AN8,0)</f>
        <v>0</v>
      </c>
      <c r="X8" s="93">
        <f t="shared" ref="X8:X35" si="5">IF($R$3="Oui",AJ8,0)</f>
        <v>0</v>
      </c>
      <c r="Y8" s="207"/>
      <c r="Z8" s="208"/>
      <c r="AA8" s="208"/>
      <c r="AB8" s="128">
        <f>IF(AND(D8="Jour férié semaine",((G8-F8)+(I8-H8)+(K8-J8)=0)),VLOOKUP(D8,Systeemgegevens!$J:$K,2,FALSE),0)</f>
        <v>0</v>
      </c>
      <c r="AC8" s="43">
        <f>IF(AND(NOT(ISERROR(FIND("Congé",D8))),ISERROR(FIND("1/2",D8)),ISERROR(FIND("Synd",D8)),ISERROR(FIND("synd",D8)),(G8-F8+I8-H8+K8-J8)=0),VLOOKUP(D8,Systeemgegevens!$J:$K,2,FALSE),IF(AND(NOT(ISERROR(FIND("1/2 Congé + ",D8))),(G8-F8+I8-H8+K8-J8)=0),VLOOKUP(D8,Systeemgegevens!$J:$K,2,FALSE)/2,IF(AND(NOT(ISERROR(FIND("1/2 Congé",D8))),ISERROR(FIND(" + ",D8)),ISERROR(FIND("1/2 Congé Synd.",D8))),VLOOKUP(D8,Systeemgegevens!$J:$K,2,FALSE),0)))</f>
        <v>0</v>
      </c>
      <c r="AD8" s="43">
        <f>IF(AND(OR(D8="1/2 Congé Synd.",D8="Congé Synd."),((G8-F8)+(I8-H8)+(K8-J8)=0)),VLOOKUP(D8,Systeemgegevens!$J:$K,2,FALSE),IF(AND(D8="1/2 Congé + 1/2 synd.",((G8-F8)+(I8-H8)+(K8-J8)=0)),AC8,0))</f>
        <v>0</v>
      </c>
      <c r="AE8" s="43">
        <f>IF(AND(D8="Jour de pont",((G8-F8)+(I8-H8)+(K8-J8)=0)),VLOOKUP(D8,Systeemgegevens!$J:$K,2,FALSE),0)</f>
        <v>0</v>
      </c>
      <c r="AF8" s="43">
        <f>IF(AND(D8="Jour libre 4/5",AND((G8-F8)+(I8-H8)+(K8-J8)=0)),VLOOKUP(D8,Systeemgegevens!$J:$K,2,FALSE),0)</f>
        <v>0</v>
      </c>
      <c r="AG8" s="118">
        <f>IF(AND(D8&lt;&gt;"",SUM(AB8:AF8)=0,D8&lt;&gt;$AB$4,D8&lt;&gt;$AC$4,D8&lt;&gt;$AD$4,D8&lt;&gt;$AE$4,D8&lt;&gt;$AF$4),VLOOKUP(D8,Systeemgegevens!$J:$K,2,FALSE),0)</f>
        <v>0</v>
      </c>
      <c r="AH8" s="119">
        <f t="shared" ref="AH8:AH35" si="6">SUM(IF(AND(G8&gt;$AH$6,F8&lt;=$AH$6),G8-$AH$6,0),IF(F8&gt;$AH$6,G8-F8,0),IF(AND(I8&gt;$AH$6,H8&lt;=$AH$6),I8-$AH$6,0),IF(H8&gt;$AH$6,I8-H8,0),IF(AND(K8&gt;$AH$6,J8&lt;=$AH$6),K8-$AH$6,0),IF(J8&gt;$AH$6,K8-J8,0))</f>
        <v>0</v>
      </c>
      <c r="AI8" s="101">
        <f t="shared" ref="AI8:AI35" si="7">SUM(IF(AND(G8&gt;=$AI$7,F8&lt;$AI$7),$AI$7-F8,0),IF(G8&lt;$AI$7,G8-F8,0),IF(AND(I8&gt;=$AI$7,H8&lt;$AI$7),$AI$7-H8,0),IF(I8&lt;$AI$7,I8-H8,0),IF(AND(K8&gt;=$AI$7,J8&lt;$AI$7),$AI$7-J8,0),IF(K8&lt;$AI$7,K8-J8,0))</f>
        <v>0</v>
      </c>
      <c r="AJ8" s="118">
        <f>SUM(AH8:AI8)</f>
        <v>0</v>
      </c>
      <c r="AK8" s="119">
        <f t="shared" ref="AK8:AK35" si="8">SUM(IF(AND(G8&gt;$AK$6,F8&lt;=$AK$6),G8-$AK$6,0),IF(F8&gt;$AK$6,G8-F8,0),IF(AND(I8&gt;$AK$6,H8&lt;=$AK$6),I8-$AK$6,0),IF(H8&gt;$AK$6,I8-H8,0),IF(AND(K8&gt;$AK$6,J8&lt;=$AK$6),K8-$AK$6,0),IF(J8&gt;$AK$6,K8-J8,0))</f>
        <v>0</v>
      </c>
      <c r="AL8" s="101">
        <f t="shared" ref="AL8:AL35" si="9">SUM(IF(AND(G8&gt;=$AL$7,F8&lt;$AL$7),$AL$7-F8,0),IF(G8&lt;$AL$7,G8-F8,0),IF(AND(I8&gt;=$AL$7,H8&lt;$AL$7),$AL$7-H8,0),IF(I8&lt;$AL$7,I8-H8,0),IF(AND(K8&gt;=$AL$7,J8&lt;$AL$7),$AL$7-J8,0),IF(K8&lt;$AL$7,K8-J8,0))</f>
        <v>0</v>
      </c>
      <c r="AM8" s="43">
        <f>AH8-AK8</f>
        <v>0</v>
      </c>
      <c r="AN8" s="118">
        <f>AK8+AL8</f>
        <v>0</v>
      </c>
      <c r="AO8" s="122">
        <f t="shared" ref="AO8:AO35" si="10">SUM(IF(AND(F8&lt;=$AO$6,G8&gt;=$AO$7),1,0),IF(AND(H8&lt;=$AO$6,I8&gt;=$AO$7),1,0),IF(AND(J8&lt;=$AO$6,K8&gt;=$AO$7),1,0))</f>
        <v>0</v>
      </c>
      <c r="AP8" s="107">
        <f t="shared" ref="AP8:AP35" si="11">SUM(IF(AND(F8&lt;=$AP$6,G8&gt;=$AP$7),1,0),IF(AND(H8&lt;=$AP$6,I8&gt;=$AP$7),1,0),IF(AND(J8&lt;=$AP$6,K8&gt;=$AP$7),1,0))</f>
        <v>0</v>
      </c>
      <c r="AQ8" s="107">
        <f t="shared" ref="AQ8:AQ35" si="12">SUM(IF(AND(F8&lt;=$AQ$6,G8&gt;=$AQ$7),1,0),IF(AND(H8&lt;=$AQ$6,I8&gt;=$AQ$7),1,0),IF(AND(J8&lt;=$AQ$6,K8&gt;=$AQ$7),1,0))</f>
        <v>0</v>
      </c>
      <c r="AR8" s="123">
        <f t="shared" ref="AR8:AR35" si="13">SUM(IF(AND(F8&lt;=$AR$6,G8&gt;=$AR$7),1,0),IF(AND(H8&lt;=$AR$6,I8&gt;=$AR$7),1,0),IF(AND(J8&lt;=$AR$6,K8&gt;=$AR$7),1,0))</f>
        <v>0</v>
      </c>
      <c r="AS8" s="124">
        <f t="shared" ref="AS8:AS35" si="14">IF(OR(E8="M",E8="ME"),1,0)</f>
        <v>0</v>
      </c>
      <c r="AT8" s="124">
        <f t="shared" ref="AT8:AT35" si="15">IF(OR(E8="E",E8="ME"),1,0)</f>
        <v>0</v>
      </c>
      <c r="AU8" s="124">
        <f t="shared" ref="AU8:AU36" si="16">IF(AND(OR(D8="Jour férié semaine",D8="Jour de pont"),((G8-F8)+(I8-H8)+(K8-J8)&gt;0)),1,0)</f>
        <v>0</v>
      </c>
      <c r="AV8" s="117" t="s">
        <v>36</v>
      </c>
      <c r="AW8" s="129">
        <f>IF(($R$39=AV8)*AND($R$40&lt;&gt;""),VLOOKUP($R$40,'Barèmes police'!$B$4:$C$30,2),0)</f>
        <v>14703.88</v>
      </c>
      <c r="AX8" s="15"/>
      <c r="AY8" s="14"/>
      <c r="AZ8" s="269"/>
      <c r="BA8" s="154"/>
      <c r="BB8" s="154"/>
      <c r="BC8" s="154"/>
      <c r="BD8" s="154"/>
      <c r="BE8" s="154"/>
      <c r="BF8" s="154"/>
    </row>
    <row r="9" spans="1:58" ht="12.75" customHeight="1" x14ac:dyDescent="0.2">
      <c r="A9" s="34"/>
      <c r="B9" s="24" t="str">
        <f t="shared" si="0"/>
        <v>Ve</v>
      </c>
      <c r="C9" s="25">
        <f>C8+1</f>
        <v>45324</v>
      </c>
      <c r="D9" s="51"/>
      <c r="E9" s="116"/>
      <c r="F9" s="52"/>
      <c r="G9" s="53"/>
      <c r="H9" s="52"/>
      <c r="I9" s="53"/>
      <c r="J9" s="54"/>
      <c r="K9" s="55"/>
      <c r="L9" s="40">
        <f t="shared" si="1"/>
        <v>0</v>
      </c>
      <c r="M9" s="41">
        <f>M8+L9</f>
        <v>0.31666666666666665</v>
      </c>
      <c r="N9" s="42">
        <f>IF(AND(D9&lt;&gt;"Jour libre 4/5",B9&lt;&gt;"Sa",B9&lt;&gt;"Di"),SUM(N8,Configuration!$H$41),SUM(N8))</f>
        <v>7.9166666666666625</v>
      </c>
      <c r="O9" s="49" t="str">
        <f>IF(M9-N9-$M$4&gt;=0,"+","-")</f>
        <v>-</v>
      </c>
      <c r="P9" s="143">
        <f t="shared" ref="P9:P35" si="17">ABS(M9-N9-$M$4)</f>
        <v>7.5999999999999961</v>
      </c>
      <c r="Q9" s="167">
        <f t="shared" ref="Q9:T35" si="18">AO9</f>
        <v>0</v>
      </c>
      <c r="R9" s="168">
        <f t="shared" si="18"/>
        <v>0</v>
      </c>
      <c r="S9" s="168">
        <f t="shared" si="18"/>
        <v>0</v>
      </c>
      <c r="T9" s="169">
        <f t="shared" si="18"/>
        <v>0</v>
      </c>
      <c r="U9" s="97">
        <f t="shared" si="2"/>
        <v>0</v>
      </c>
      <c r="V9" s="97">
        <f t="shared" si="3"/>
        <v>0</v>
      </c>
      <c r="W9" s="97">
        <f t="shared" si="4"/>
        <v>0</v>
      </c>
      <c r="X9" s="97">
        <f t="shared" si="5"/>
        <v>0</v>
      </c>
      <c r="Y9" s="209"/>
      <c r="Z9" s="210"/>
      <c r="AA9" s="210"/>
      <c r="AB9" s="128">
        <f>IF(AND(D9="Jour férié semaine",((G9-F9)+(I9-H9)+(K9-J9)=0)),VLOOKUP(D9,Systeemgegevens!$J:$K,2,FALSE),0)</f>
        <v>0</v>
      </c>
      <c r="AC9" s="43">
        <f>IF(AND(NOT(ISERROR(FIND("Congé",D9))),ISERROR(FIND("1/2",D9)),ISERROR(FIND("Synd",D9)),ISERROR(FIND("synd",D9)),(G9-F9+I9-H9+K9-J9)=0),VLOOKUP(D9,Systeemgegevens!$J:$K,2,FALSE),IF(AND(NOT(ISERROR(FIND("1/2 Congé + ",D9))),(G9-F9+I9-H9+K9-J9)=0),VLOOKUP(D9,Systeemgegevens!$J:$K,2,FALSE)/2,IF(AND(NOT(ISERROR(FIND("1/2 Congé",D9))),ISERROR(FIND(" + ",D9)),ISERROR(FIND("1/2 Congé Synd.",D9))),VLOOKUP(D9,Systeemgegevens!$J:$K,2,FALSE),0)))</f>
        <v>0</v>
      </c>
      <c r="AD9" s="43">
        <f>IF(AND(OR(D9="1/2 Congé Synd.",D9="Congé Synd."),((G9-F9)+(I9-H9)+(K9-J9)=0)),VLOOKUP(D9,Systeemgegevens!$J:$K,2,FALSE),IF(AND(D9="1/2 Congé + 1/2 synd.",((G9-F9)+(I9-H9)+(K9-J9)=0)),AC9,0))</f>
        <v>0</v>
      </c>
      <c r="AE9" s="43">
        <f>IF(AND(D9="Jour de pont",((G9-F9)+(I9-H9)+(K9-J9)=0)),VLOOKUP(D9,Systeemgegevens!$J:$K,2,FALSE),0)</f>
        <v>0</v>
      </c>
      <c r="AF9" s="43">
        <f>IF(AND(D9="Jour libre 4/5",AND((G9-F9)+(I9-H9)+(K9-J9)=0)),VLOOKUP(D9,Systeemgegevens!$J:$K,2,FALSE),0)</f>
        <v>0</v>
      </c>
      <c r="AG9" s="118">
        <f>IF(AND(D9&lt;&gt;"",SUM(AB9:AF9)=0,D9&lt;&gt;$AB$4,D9&lt;&gt;$AC$4,D9&lt;&gt;$AE$4,D9&lt;&gt;$AF$4),VLOOKUP(D9,Systeemgegevens!$J:$K,2,FALSE),0)</f>
        <v>0</v>
      </c>
      <c r="AH9" s="119">
        <f t="shared" si="6"/>
        <v>0</v>
      </c>
      <c r="AI9" s="101">
        <f t="shared" si="7"/>
        <v>0</v>
      </c>
      <c r="AJ9" s="118">
        <f t="shared" ref="AJ9:AJ35" si="19">SUM(AH9:AI9)</f>
        <v>0</v>
      </c>
      <c r="AK9" s="119">
        <f t="shared" si="8"/>
        <v>0</v>
      </c>
      <c r="AL9" s="101">
        <f t="shared" si="9"/>
        <v>0</v>
      </c>
      <c r="AM9" s="43">
        <f t="shared" ref="AM9:AM35" si="20">AH9-AK9</f>
        <v>0</v>
      </c>
      <c r="AN9" s="118">
        <f t="shared" ref="AN9:AN35" si="21">AK9+AL9</f>
        <v>0</v>
      </c>
      <c r="AO9" s="122">
        <f t="shared" si="10"/>
        <v>0</v>
      </c>
      <c r="AP9" s="107">
        <f t="shared" si="11"/>
        <v>0</v>
      </c>
      <c r="AQ9" s="107">
        <f t="shared" si="12"/>
        <v>0</v>
      </c>
      <c r="AR9" s="123">
        <f t="shared" si="13"/>
        <v>0</v>
      </c>
      <c r="AS9" s="124">
        <f t="shared" si="14"/>
        <v>0</v>
      </c>
      <c r="AT9" s="124">
        <f t="shared" si="15"/>
        <v>0</v>
      </c>
      <c r="AU9" s="124">
        <f t="shared" si="16"/>
        <v>0</v>
      </c>
      <c r="AV9" s="117" t="s">
        <v>35</v>
      </c>
      <c r="AW9" s="129">
        <f>IF(($R$39=AV9)*AND($R$40&lt;&gt;""),VLOOKUP($R$40,'Barèmes police'!$E$4:$F$30,2),0)</f>
        <v>0</v>
      </c>
      <c r="AX9" s="16" t="str">
        <f>IF('Types de jours'!F15&lt;&gt;"",'Types de jours'!F15,"")</f>
        <v>Congé</v>
      </c>
      <c r="AY9" s="144">
        <f>IF(AX9&lt;&gt;"",'Types de jours'!I15,"")</f>
        <v>0.31666666666666665</v>
      </c>
      <c r="AZ9" s="269"/>
      <c r="BA9" s="154"/>
      <c r="BB9" s="154"/>
      <c r="BC9" s="154"/>
      <c r="BD9" s="154"/>
      <c r="BE9" s="154"/>
      <c r="BF9" s="154"/>
    </row>
    <row r="10" spans="1:58" ht="12.75" customHeight="1" x14ac:dyDescent="0.2">
      <c r="A10" s="34"/>
      <c r="B10" s="24" t="str">
        <f t="shared" si="0"/>
        <v>Sa</v>
      </c>
      <c r="C10" s="25">
        <f t="shared" ref="C10:C36" si="22">C9+1</f>
        <v>45325</v>
      </c>
      <c r="D10" s="51"/>
      <c r="E10" s="116"/>
      <c r="F10" s="52"/>
      <c r="G10" s="53"/>
      <c r="H10" s="52"/>
      <c r="I10" s="53"/>
      <c r="J10" s="54"/>
      <c r="K10" s="55"/>
      <c r="L10" s="40">
        <f t="shared" si="1"/>
        <v>0</v>
      </c>
      <c r="M10" s="41">
        <f t="shared" ref="M10:M35" si="23">M9+L10</f>
        <v>0.31666666666666665</v>
      </c>
      <c r="N10" s="42">
        <f>IF(AND(D10&lt;&gt;"Jour libre 4/5",B10&lt;&gt;"Sa",B10&lt;&gt;"Di"),SUM(N9,Configuration!$H$41),SUM(N9))</f>
        <v>7.9166666666666625</v>
      </c>
      <c r="O10" s="49" t="str">
        <f t="shared" ref="O10:O35" si="24">IF(M10-N10-$M$4&gt;=0,"+","-")</f>
        <v>-</v>
      </c>
      <c r="P10" s="143">
        <f t="shared" si="17"/>
        <v>7.5999999999999961</v>
      </c>
      <c r="Q10" s="167">
        <f t="shared" si="18"/>
        <v>0</v>
      </c>
      <c r="R10" s="168">
        <f t="shared" si="18"/>
        <v>0</v>
      </c>
      <c r="S10" s="168">
        <f t="shared" si="18"/>
        <v>0</v>
      </c>
      <c r="T10" s="169">
        <f t="shared" si="18"/>
        <v>0</v>
      </c>
      <c r="U10" s="97">
        <f t="shared" si="2"/>
        <v>0</v>
      </c>
      <c r="V10" s="97">
        <f t="shared" si="3"/>
        <v>0</v>
      </c>
      <c r="W10" s="97">
        <f t="shared" si="4"/>
        <v>0</v>
      </c>
      <c r="X10" s="97">
        <f t="shared" si="5"/>
        <v>0</v>
      </c>
      <c r="Y10" s="209"/>
      <c r="Z10" s="210"/>
      <c r="AA10" s="210"/>
      <c r="AB10" s="128">
        <f>IF(AND(D10="Jour férié semaine",((G10-F10)+(I10-H10)+(K10-J10)=0)),VLOOKUP(D10,Systeemgegevens!$J:$K,2,FALSE),0)</f>
        <v>0</v>
      </c>
      <c r="AC10" s="43">
        <f>IF(AND(NOT(ISERROR(FIND("Congé",D10))),ISERROR(FIND("1/2",D10)),ISERROR(FIND("Synd",D10)),ISERROR(FIND("synd",D10)),(G10-F10+I10-H10+K10-J10)=0),VLOOKUP(D10,Systeemgegevens!$J:$K,2,FALSE),IF(AND(NOT(ISERROR(FIND("1/2 Congé + ",D10))),(G10-F10+I10-H10+K10-J10)=0),VLOOKUP(D10,Systeemgegevens!$J:$K,2,FALSE)/2,IF(AND(NOT(ISERROR(FIND("1/2 Congé",D10))),ISERROR(FIND(" + ",D10)),ISERROR(FIND("1/2 Congé Synd.",D10))),VLOOKUP(D10,Systeemgegevens!$J:$K,2,FALSE),0)))</f>
        <v>0</v>
      </c>
      <c r="AD10" s="43">
        <f>IF(AND(OR(D10="1/2 Congé Synd.",D10="Congé Synd."),((G10-F10)+(I10-H10)+(K10-J10)=0)),VLOOKUP(D10,Systeemgegevens!$J:$K,2,FALSE),IF(AND(D10="1/2 Congé + 1/2 synd.",((G10-F10)+(I10-H10)+(K10-J10)=0)),AC10,0))</f>
        <v>0</v>
      </c>
      <c r="AE10" s="43">
        <f>IF(AND(D10="Jour de pont",((G10-F10)+(I10-H10)+(K10-J10)=0)),VLOOKUP(D10,Systeemgegevens!$J:$K,2,FALSE),0)</f>
        <v>0</v>
      </c>
      <c r="AF10" s="43">
        <f>IF(AND(D10="Jour libre 4/5",AND((G10-F10)+(I10-H10)+(K10-J10)=0)),VLOOKUP(D10,Systeemgegevens!$J:$K,2,FALSE),0)</f>
        <v>0</v>
      </c>
      <c r="AG10" s="118">
        <f>IF(AND(D10&lt;&gt;"",SUM(AB10:AF10)=0,D10&lt;&gt;$AB$4,D10&lt;&gt;$AC$4,D10&lt;&gt;$AE$4,D10&lt;&gt;$AF$4),VLOOKUP(D10,Systeemgegevens!$J:$K,2,FALSE),0)</f>
        <v>0</v>
      </c>
      <c r="AH10" s="119">
        <f t="shared" si="6"/>
        <v>0</v>
      </c>
      <c r="AI10" s="101">
        <f t="shared" si="7"/>
        <v>0</v>
      </c>
      <c r="AJ10" s="118">
        <f t="shared" si="19"/>
        <v>0</v>
      </c>
      <c r="AK10" s="119">
        <f t="shared" si="8"/>
        <v>0</v>
      </c>
      <c r="AL10" s="101">
        <f t="shared" si="9"/>
        <v>0</v>
      </c>
      <c r="AM10" s="43">
        <f t="shared" si="20"/>
        <v>0</v>
      </c>
      <c r="AN10" s="118">
        <f t="shared" si="21"/>
        <v>0</v>
      </c>
      <c r="AO10" s="122">
        <f t="shared" si="10"/>
        <v>0</v>
      </c>
      <c r="AP10" s="107">
        <f t="shared" si="11"/>
        <v>0</v>
      </c>
      <c r="AQ10" s="107">
        <f t="shared" si="12"/>
        <v>0</v>
      </c>
      <c r="AR10" s="123">
        <f t="shared" si="13"/>
        <v>0</v>
      </c>
      <c r="AS10" s="124">
        <f t="shared" si="14"/>
        <v>0</v>
      </c>
      <c r="AT10" s="124">
        <f t="shared" si="15"/>
        <v>0</v>
      </c>
      <c r="AU10" s="124">
        <f t="shared" si="16"/>
        <v>0</v>
      </c>
      <c r="AV10" s="117" t="s">
        <v>34</v>
      </c>
      <c r="AW10" s="129">
        <f>IF(($R$39=AV10)*AND($R$40&lt;&gt;""),VLOOKUP($R$40,'Barèmes police'!$H$4:$I$30,2),0)</f>
        <v>0</v>
      </c>
      <c r="AX10" s="16" t="str">
        <f>IF('Types de jours'!F16&lt;&gt;"",'Types de jours'!F16,"")</f>
        <v>1/2 Congé</v>
      </c>
      <c r="AY10" s="144">
        <f>IF(AX10&lt;&gt;"",'Types de jours'!I16,"")</f>
        <v>0.15833333333333333</v>
      </c>
      <c r="AZ10" s="269"/>
      <c r="BA10" s="154"/>
      <c r="BB10" s="154"/>
      <c r="BC10" s="154"/>
      <c r="BD10" s="154"/>
      <c r="BE10" s="154"/>
      <c r="BF10" s="154"/>
    </row>
    <row r="11" spans="1:58" ht="12.75" customHeight="1" x14ac:dyDescent="0.2">
      <c r="A11" s="34"/>
      <c r="B11" s="24" t="str">
        <f t="shared" si="0"/>
        <v>Di</v>
      </c>
      <c r="C11" s="25">
        <f t="shared" si="22"/>
        <v>45326</v>
      </c>
      <c r="D11" s="51"/>
      <c r="E11" s="116"/>
      <c r="F11" s="52"/>
      <c r="G11" s="53"/>
      <c r="H11" s="52"/>
      <c r="I11" s="53"/>
      <c r="J11" s="54"/>
      <c r="K11" s="55"/>
      <c r="L11" s="40">
        <f t="shared" si="1"/>
        <v>0</v>
      </c>
      <c r="M11" s="41">
        <f t="shared" si="23"/>
        <v>0.31666666666666665</v>
      </c>
      <c r="N11" s="42">
        <f>IF(AND(D11&lt;&gt;"Jour libre 4/5",B11&lt;&gt;"Sa",B11&lt;&gt;"Di"),SUM(N10,Configuration!$H$41),SUM(N10))</f>
        <v>7.9166666666666625</v>
      </c>
      <c r="O11" s="49" t="str">
        <f t="shared" si="24"/>
        <v>-</v>
      </c>
      <c r="P11" s="143">
        <f t="shared" si="17"/>
        <v>7.5999999999999961</v>
      </c>
      <c r="Q11" s="167">
        <f t="shared" si="18"/>
        <v>0</v>
      </c>
      <c r="R11" s="168">
        <f t="shared" si="18"/>
        <v>0</v>
      </c>
      <c r="S11" s="168">
        <f t="shared" si="18"/>
        <v>0</v>
      </c>
      <c r="T11" s="169">
        <f t="shared" si="18"/>
        <v>0</v>
      </c>
      <c r="U11" s="97">
        <f t="shared" si="2"/>
        <v>0</v>
      </c>
      <c r="V11" s="97">
        <f t="shared" si="3"/>
        <v>0</v>
      </c>
      <c r="W11" s="97">
        <f t="shared" si="4"/>
        <v>0</v>
      </c>
      <c r="X11" s="97">
        <f t="shared" si="5"/>
        <v>0</v>
      </c>
      <c r="Y11" s="209"/>
      <c r="Z11" s="210"/>
      <c r="AA11" s="210"/>
      <c r="AB11" s="128">
        <f>IF(AND(D11="Jour férié semaine",((G11-F11)+(I11-H11)+(K11-J11)=0)),VLOOKUP(D11,Systeemgegevens!$J:$K,2,FALSE),0)</f>
        <v>0</v>
      </c>
      <c r="AC11" s="43">
        <f>IF(AND(NOT(ISERROR(FIND("Congé",D11))),ISERROR(FIND("1/2",D11)),ISERROR(FIND("Synd",D11)),ISERROR(FIND("synd",D11)),(G11-F11+I11-H11+K11-J11)=0),VLOOKUP(D11,Systeemgegevens!$J:$K,2,FALSE),IF(AND(NOT(ISERROR(FIND("1/2 Congé + ",D11))),(G11-F11+I11-H11+K11-J11)=0),VLOOKUP(D11,Systeemgegevens!$J:$K,2,FALSE)/2,IF(AND(NOT(ISERROR(FIND("1/2 Congé",D11))),ISERROR(FIND(" + ",D11)),ISERROR(FIND("1/2 Congé Synd.",D11))),VLOOKUP(D11,Systeemgegevens!$J:$K,2,FALSE),0)))</f>
        <v>0</v>
      </c>
      <c r="AD11" s="43">
        <f>IF(AND(OR(D11="1/2 Congé Synd.",D11="Congé Synd."),((G11-F11)+(I11-H11)+(K11-J11)=0)),VLOOKUP(D11,Systeemgegevens!$J:$K,2,FALSE),IF(AND(D11="1/2 Congé + 1/2 synd.",((G11-F11)+(I11-H11)+(K11-J11)=0)),AC11,0))</f>
        <v>0</v>
      </c>
      <c r="AE11" s="43">
        <f>IF(AND(D11="Jour de pont",((G11-F11)+(I11-H11)+(K11-J11)=0)),VLOOKUP(D11,Systeemgegevens!$J:$K,2,FALSE),0)</f>
        <v>0</v>
      </c>
      <c r="AF11" s="43">
        <f>IF(AND(D11="Jour libre 4/5",AND((G11-F11)+(I11-H11)+(K11-J11)=0)),VLOOKUP(D11,Systeemgegevens!$J:$K,2,FALSE),0)</f>
        <v>0</v>
      </c>
      <c r="AG11" s="118">
        <f>IF(AND(D11&lt;&gt;"",SUM(AB11:AF11)=0,D11&lt;&gt;$AB$4,D11&lt;&gt;$AC$4,D11&lt;&gt;$AE$4,D11&lt;&gt;$AF$4),VLOOKUP(D11,Systeemgegevens!$J:$K,2,FALSE),0)</f>
        <v>0</v>
      </c>
      <c r="AH11" s="119">
        <f t="shared" si="6"/>
        <v>0</v>
      </c>
      <c r="AI11" s="101">
        <f t="shared" si="7"/>
        <v>0</v>
      </c>
      <c r="AJ11" s="118">
        <f t="shared" si="19"/>
        <v>0</v>
      </c>
      <c r="AK11" s="119">
        <f t="shared" si="8"/>
        <v>0</v>
      </c>
      <c r="AL11" s="101">
        <f t="shared" si="9"/>
        <v>0</v>
      </c>
      <c r="AM11" s="43">
        <f t="shared" si="20"/>
        <v>0</v>
      </c>
      <c r="AN11" s="118">
        <f t="shared" si="21"/>
        <v>0</v>
      </c>
      <c r="AO11" s="122">
        <f t="shared" si="10"/>
        <v>0</v>
      </c>
      <c r="AP11" s="107">
        <f t="shared" si="11"/>
        <v>0</v>
      </c>
      <c r="AQ11" s="107">
        <f t="shared" si="12"/>
        <v>0</v>
      </c>
      <c r="AR11" s="123">
        <f t="shared" si="13"/>
        <v>0</v>
      </c>
      <c r="AS11" s="124">
        <f t="shared" si="14"/>
        <v>0</v>
      </c>
      <c r="AT11" s="124">
        <f t="shared" si="15"/>
        <v>0</v>
      </c>
      <c r="AU11" s="124">
        <f t="shared" si="16"/>
        <v>0</v>
      </c>
      <c r="AV11" s="117" t="s">
        <v>268</v>
      </c>
      <c r="AW11" s="129">
        <f>IF(($R$39=AV11)*AND($R$40&lt;&gt;""),VLOOKUP($R$40,'Barèmes police'!$K$4:$L$30,2),0)</f>
        <v>0</v>
      </c>
      <c r="AX11" s="16" t="str">
        <f>IF('Types de jours'!F17&lt;&gt;"",'Types de jours'!F17,"")</f>
        <v>Malade</v>
      </c>
      <c r="AY11" s="144">
        <f>IF(AX11&lt;&gt;"",'Types de jours'!I17,"")</f>
        <v>0.31666666666666665</v>
      </c>
      <c r="AZ11" s="269"/>
      <c r="BA11" s="154"/>
      <c r="BB11" s="154"/>
      <c r="BC11" s="154"/>
      <c r="BD11" s="154"/>
      <c r="BE11" s="154"/>
      <c r="BF11" s="154"/>
    </row>
    <row r="12" spans="1:58" ht="12.75" customHeight="1" x14ac:dyDescent="0.2">
      <c r="A12" s="34"/>
      <c r="B12" s="24" t="str">
        <f t="shared" si="0"/>
        <v>Lu</v>
      </c>
      <c r="C12" s="25">
        <f t="shared" si="22"/>
        <v>45327</v>
      </c>
      <c r="D12" s="51"/>
      <c r="E12" s="116"/>
      <c r="F12" s="52"/>
      <c r="G12" s="53"/>
      <c r="H12" s="52"/>
      <c r="I12" s="53"/>
      <c r="J12" s="54"/>
      <c r="K12" s="55"/>
      <c r="L12" s="40">
        <f t="shared" si="1"/>
        <v>0</v>
      </c>
      <c r="M12" s="41">
        <f t="shared" si="23"/>
        <v>0.31666666666666665</v>
      </c>
      <c r="N12" s="42">
        <f>IF(AND(D12&lt;&gt;"Jour libre 4/5",B12&lt;&gt;"Sa",B12&lt;&gt;"Di"),SUM(N11,Configuration!$H$41),SUM(N11))</f>
        <v>8.233333333333329</v>
      </c>
      <c r="O12" s="49" t="str">
        <f t="shared" si="24"/>
        <v>-</v>
      </c>
      <c r="P12" s="143">
        <f t="shared" si="17"/>
        <v>7.9166666666666625</v>
      </c>
      <c r="Q12" s="167">
        <f t="shared" si="18"/>
        <v>0</v>
      </c>
      <c r="R12" s="168">
        <f t="shared" si="18"/>
        <v>0</v>
      </c>
      <c r="S12" s="168">
        <f t="shared" si="18"/>
        <v>0</v>
      </c>
      <c r="T12" s="169">
        <f t="shared" si="18"/>
        <v>0</v>
      </c>
      <c r="U12" s="97">
        <f t="shared" si="2"/>
        <v>0</v>
      </c>
      <c r="V12" s="97">
        <f t="shared" si="3"/>
        <v>0</v>
      </c>
      <c r="W12" s="97">
        <f t="shared" si="4"/>
        <v>0</v>
      </c>
      <c r="X12" s="97">
        <f t="shared" si="5"/>
        <v>0</v>
      </c>
      <c r="Y12" s="209"/>
      <c r="Z12" s="210"/>
      <c r="AA12" s="210"/>
      <c r="AB12" s="128">
        <f>IF(AND(D12="Jour férié semaine",((G12-F12)+(I12-H12)+(K12-J12)=0)),VLOOKUP(D12,Systeemgegevens!$J:$K,2,FALSE),0)</f>
        <v>0</v>
      </c>
      <c r="AC12" s="43">
        <f>IF(AND(NOT(ISERROR(FIND("Congé",D12))),ISERROR(FIND("1/2",D12)),ISERROR(FIND("Synd",D12)),ISERROR(FIND("synd",D12)),(G12-F12+I12-H12+K12-J12)=0),VLOOKUP(D12,Systeemgegevens!$J:$K,2,FALSE),IF(AND(NOT(ISERROR(FIND("1/2 Congé + ",D12))),(G12-F12+I12-H12+K12-J12)=0),VLOOKUP(D12,Systeemgegevens!$J:$K,2,FALSE)/2,IF(AND(NOT(ISERROR(FIND("1/2 Congé",D12))),ISERROR(FIND(" + ",D12)),ISERROR(FIND("1/2 Congé Synd.",D12))),VLOOKUP(D12,Systeemgegevens!$J:$K,2,FALSE),0)))</f>
        <v>0</v>
      </c>
      <c r="AD12" s="43">
        <f>IF(AND(OR(D12="1/2 Congé Synd.",D12="Congé Synd."),((G12-F12)+(I12-H12)+(K12-J12)=0)),VLOOKUP(D12,Systeemgegevens!$J:$K,2,FALSE),IF(AND(D12="1/2 Congé + 1/2 synd.",((G12-F12)+(I12-H12)+(K12-J12)=0)),AC12,0))</f>
        <v>0</v>
      </c>
      <c r="AE12" s="43">
        <f>IF(AND(D12="Jour de pont",((G12-F12)+(I12-H12)+(K12-J12)=0)),VLOOKUP(D12,Systeemgegevens!$J:$K,2,FALSE),0)</f>
        <v>0</v>
      </c>
      <c r="AF12" s="43">
        <f>IF(AND(D12="Jour libre 4/5",AND((G12-F12)+(I12-H12)+(K12-J12)=0)),VLOOKUP(D12,Systeemgegevens!$J:$K,2,FALSE),0)</f>
        <v>0</v>
      </c>
      <c r="AG12" s="118">
        <f>IF(AND(D12&lt;&gt;"",SUM(AB12:AF12)=0,D12&lt;&gt;$AB$4,D12&lt;&gt;$AC$4,D12&lt;&gt;$AE$4,D12&lt;&gt;$AF$4),VLOOKUP(D12,Systeemgegevens!$J:$K,2,FALSE),0)</f>
        <v>0</v>
      </c>
      <c r="AH12" s="119">
        <f t="shared" si="6"/>
        <v>0</v>
      </c>
      <c r="AI12" s="101">
        <f t="shared" si="7"/>
        <v>0</v>
      </c>
      <c r="AJ12" s="118">
        <f t="shared" si="19"/>
        <v>0</v>
      </c>
      <c r="AK12" s="119">
        <f t="shared" si="8"/>
        <v>0</v>
      </c>
      <c r="AL12" s="101">
        <f t="shared" si="9"/>
        <v>0</v>
      </c>
      <c r="AM12" s="43">
        <f t="shared" si="20"/>
        <v>0</v>
      </c>
      <c r="AN12" s="118">
        <f t="shared" si="21"/>
        <v>0</v>
      </c>
      <c r="AO12" s="122">
        <f t="shared" si="10"/>
        <v>0</v>
      </c>
      <c r="AP12" s="107">
        <f t="shared" si="11"/>
        <v>0</v>
      </c>
      <c r="AQ12" s="107">
        <f t="shared" si="12"/>
        <v>0</v>
      </c>
      <c r="AR12" s="123">
        <f t="shared" si="13"/>
        <v>0</v>
      </c>
      <c r="AS12" s="124">
        <f t="shared" si="14"/>
        <v>0</v>
      </c>
      <c r="AT12" s="124">
        <f t="shared" si="15"/>
        <v>0</v>
      </c>
      <c r="AU12" s="124">
        <f t="shared" si="16"/>
        <v>0</v>
      </c>
      <c r="AV12" s="117" t="s">
        <v>33</v>
      </c>
      <c r="AW12" s="129">
        <f>IF(($R$39=AV12)*AND($R$40&lt;&gt;""),VLOOKUP($R$40,'Barèmes police'!$N$4:$O$30,2),0)</f>
        <v>0</v>
      </c>
      <c r="AX12" s="16" t="str">
        <f>IF('Types de jours'!F18&lt;&gt;"",'Types de jours'!F18,"")</f>
        <v>Acc. de travail</v>
      </c>
      <c r="AY12" s="144">
        <f>IF(AX12&lt;&gt;"",'Types de jours'!I18,"")</f>
        <v>0.31666666666666665</v>
      </c>
      <c r="AZ12" s="269"/>
      <c r="BA12" s="154"/>
      <c r="BB12" s="154"/>
      <c r="BC12" s="154"/>
      <c r="BD12" s="154"/>
      <c r="BE12" s="154"/>
      <c r="BF12" s="154"/>
    </row>
    <row r="13" spans="1:58" ht="12.75" customHeight="1" x14ac:dyDescent="0.2">
      <c r="A13" s="34"/>
      <c r="B13" s="24" t="str">
        <f t="shared" si="0"/>
        <v>Ma</v>
      </c>
      <c r="C13" s="25">
        <f t="shared" si="22"/>
        <v>45328</v>
      </c>
      <c r="D13" s="51"/>
      <c r="E13" s="116"/>
      <c r="F13" s="52"/>
      <c r="G13" s="53"/>
      <c r="H13" s="52"/>
      <c r="I13" s="53"/>
      <c r="J13" s="54"/>
      <c r="K13" s="55"/>
      <c r="L13" s="40">
        <f t="shared" si="1"/>
        <v>0</v>
      </c>
      <c r="M13" s="41">
        <f t="shared" si="23"/>
        <v>0.31666666666666665</v>
      </c>
      <c r="N13" s="42">
        <f>IF(AND(D13&lt;&gt;"Jour libre 4/5",B13&lt;&gt;"Sa",B13&lt;&gt;"Di"),SUM(N12,Configuration!$H$41),SUM(N12))</f>
        <v>8.5499999999999954</v>
      </c>
      <c r="O13" s="49" t="str">
        <f t="shared" si="24"/>
        <v>-</v>
      </c>
      <c r="P13" s="143">
        <f t="shared" si="17"/>
        <v>8.233333333333329</v>
      </c>
      <c r="Q13" s="167">
        <f t="shared" si="18"/>
        <v>0</v>
      </c>
      <c r="R13" s="168">
        <f t="shared" si="18"/>
        <v>0</v>
      </c>
      <c r="S13" s="168">
        <f t="shared" si="18"/>
        <v>0</v>
      </c>
      <c r="T13" s="169">
        <f t="shared" si="18"/>
        <v>0</v>
      </c>
      <c r="U13" s="97">
        <f t="shared" si="2"/>
        <v>0</v>
      </c>
      <c r="V13" s="97">
        <f t="shared" si="3"/>
        <v>0</v>
      </c>
      <c r="W13" s="97">
        <f t="shared" si="4"/>
        <v>0</v>
      </c>
      <c r="X13" s="97">
        <f t="shared" si="5"/>
        <v>0</v>
      </c>
      <c r="Y13" s="209"/>
      <c r="Z13" s="210"/>
      <c r="AA13" s="210"/>
      <c r="AB13" s="128">
        <f>IF(AND(D13="Jour férié semaine",((G13-F13)+(I13-H13)+(K13-J13)=0)),VLOOKUP(D13,Systeemgegevens!$J:$K,2,FALSE),0)</f>
        <v>0</v>
      </c>
      <c r="AC13" s="43">
        <f>IF(AND(NOT(ISERROR(FIND("Congé",D13))),ISERROR(FIND("1/2",D13)),ISERROR(FIND("Synd",D13)),ISERROR(FIND("synd",D13)),(G13-F13+I13-H13+K13-J13)=0),VLOOKUP(D13,Systeemgegevens!$J:$K,2,FALSE),IF(AND(NOT(ISERROR(FIND("1/2 Congé + ",D13))),(G13-F13+I13-H13+K13-J13)=0),VLOOKUP(D13,Systeemgegevens!$J:$K,2,FALSE)/2,IF(AND(NOT(ISERROR(FIND("1/2 Congé",D13))),ISERROR(FIND(" + ",D13)),ISERROR(FIND("1/2 Congé Synd.",D13))),VLOOKUP(D13,Systeemgegevens!$J:$K,2,FALSE),0)))</f>
        <v>0</v>
      </c>
      <c r="AD13" s="43">
        <f>IF(AND(OR(D13="1/2 Congé Synd.",D13="Congé Synd."),((G13-F13)+(I13-H13)+(K13-J13)=0)),VLOOKUP(D13,Systeemgegevens!$J:$K,2,FALSE),IF(AND(D13="1/2 Congé + 1/2 synd.",((G13-F13)+(I13-H13)+(K13-J13)=0)),AC13,0))</f>
        <v>0</v>
      </c>
      <c r="AE13" s="43">
        <f>IF(AND(D13="Jour de pont",((G13-F13)+(I13-H13)+(K13-J13)=0)),VLOOKUP(D13,Systeemgegevens!$J:$K,2,FALSE),0)</f>
        <v>0</v>
      </c>
      <c r="AF13" s="43">
        <f>IF(AND(D13="Jour libre 4/5",AND((G13-F13)+(I13-H13)+(K13-J13)=0)),VLOOKUP(D13,Systeemgegevens!$J:$K,2,FALSE),0)</f>
        <v>0</v>
      </c>
      <c r="AG13" s="118">
        <f>IF(AND(D13&lt;&gt;"",SUM(AB13:AF13)=0,D13&lt;&gt;$AB$4,D13&lt;&gt;$AC$4,D13&lt;&gt;$AE$4,D13&lt;&gt;$AF$4),VLOOKUP(D13,Systeemgegevens!$J:$K,2,FALSE),0)</f>
        <v>0</v>
      </c>
      <c r="AH13" s="119">
        <f t="shared" si="6"/>
        <v>0</v>
      </c>
      <c r="AI13" s="101">
        <f t="shared" si="7"/>
        <v>0</v>
      </c>
      <c r="AJ13" s="118">
        <f t="shared" si="19"/>
        <v>0</v>
      </c>
      <c r="AK13" s="119">
        <f t="shared" si="8"/>
        <v>0</v>
      </c>
      <c r="AL13" s="101">
        <f t="shared" si="9"/>
        <v>0</v>
      </c>
      <c r="AM13" s="43">
        <f t="shared" si="20"/>
        <v>0</v>
      </c>
      <c r="AN13" s="118">
        <f t="shared" si="21"/>
        <v>0</v>
      </c>
      <c r="AO13" s="122">
        <f t="shared" si="10"/>
        <v>0</v>
      </c>
      <c r="AP13" s="107">
        <f t="shared" si="11"/>
        <v>0</v>
      </c>
      <c r="AQ13" s="107">
        <f t="shared" si="12"/>
        <v>0</v>
      </c>
      <c r="AR13" s="123">
        <f t="shared" si="13"/>
        <v>0</v>
      </c>
      <c r="AS13" s="124">
        <f t="shared" si="14"/>
        <v>0</v>
      </c>
      <c r="AT13" s="124">
        <f t="shared" si="15"/>
        <v>0</v>
      </c>
      <c r="AU13" s="124">
        <f t="shared" si="16"/>
        <v>0</v>
      </c>
      <c r="AV13" s="117" t="s">
        <v>32</v>
      </c>
      <c r="AW13" s="129">
        <f>IF(($R$39=AV13)*AND($R$40&lt;&gt;""),VLOOKUP($R$40,'Barèmes police'!$Q$4:$R$30,2),0)</f>
        <v>0</v>
      </c>
      <c r="AX13" s="16" t="str">
        <f>IF('Types de jours'!F19&lt;&gt;"",'Types de jours'!F19,"")</f>
        <v>Congé Synd.</v>
      </c>
      <c r="AY13" s="144">
        <f>IF(AX13&lt;&gt;"",'Types de jours'!I19,"")</f>
        <v>0.31666666666666665</v>
      </c>
      <c r="AZ13" s="269"/>
      <c r="BA13" s="154"/>
      <c r="BB13" s="154"/>
      <c r="BC13" s="154"/>
      <c r="BD13" s="154"/>
      <c r="BE13" s="154"/>
      <c r="BF13" s="154"/>
    </row>
    <row r="14" spans="1:58" ht="12.75" customHeight="1" x14ac:dyDescent="0.2">
      <c r="A14" s="34"/>
      <c r="B14" s="24" t="str">
        <f t="shared" si="0"/>
        <v>Me</v>
      </c>
      <c r="C14" s="25">
        <f t="shared" si="22"/>
        <v>45329</v>
      </c>
      <c r="D14" s="51"/>
      <c r="E14" s="116"/>
      <c r="F14" s="52"/>
      <c r="G14" s="53"/>
      <c r="H14" s="52"/>
      <c r="I14" s="53"/>
      <c r="J14" s="54"/>
      <c r="K14" s="55"/>
      <c r="L14" s="40">
        <f t="shared" si="1"/>
        <v>0</v>
      </c>
      <c r="M14" s="41">
        <f t="shared" si="23"/>
        <v>0.31666666666666665</v>
      </c>
      <c r="N14" s="42">
        <f>IF(AND(D14&lt;&gt;"Jour libre 4/5",B14&lt;&gt;"Sa",B14&lt;&gt;"Di"),SUM(N13,Configuration!$H$41),SUM(N13))</f>
        <v>8.8666666666666618</v>
      </c>
      <c r="O14" s="49" t="str">
        <f t="shared" si="24"/>
        <v>-</v>
      </c>
      <c r="P14" s="143">
        <f t="shared" si="17"/>
        <v>8.5499999999999954</v>
      </c>
      <c r="Q14" s="167">
        <f t="shared" si="18"/>
        <v>0</v>
      </c>
      <c r="R14" s="168">
        <f t="shared" si="18"/>
        <v>0</v>
      </c>
      <c r="S14" s="168">
        <f t="shared" si="18"/>
        <v>0</v>
      </c>
      <c r="T14" s="169">
        <f t="shared" si="18"/>
        <v>0</v>
      </c>
      <c r="U14" s="97">
        <f t="shared" si="2"/>
        <v>0</v>
      </c>
      <c r="V14" s="97">
        <f t="shared" si="3"/>
        <v>0</v>
      </c>
      <c r="W14" s="97">
        <f t="shared" si="4"/>
        <v>0</v>
      </c>
      <c r="X14" s="97">
        <f t="shared" si="5"/>
        <v>0</v>
      </c>
      <c r="Y14" s="209"/>
      <c r="Z14" s="210"/>
      <c r="AA14" s="210"/>
      <c r="AB14" s="128">
        <f>IF(AND(D14="Jour férié semaine",((G14-F14)+(I14-H14)+(K14-J14)=0)),VLOOKUP(D14,Systeemgegevens!$J:$K,2,FALSE),0)</f>
        <v>0</v>
      </c>
      <c r="AC14" s="43">
        <f>IF(AND(NOT(ISERROR(FIND("Congé",D14))),ISERROR(FIND("1/2",D14)),ISERROR(FIND("Synd",D14)),ISERROR(FIND("synd",D14)),(G14-F14+I14-H14+K14-J14)=0),VLOOKUP(D14,Systeemgegevens!$J:$K,2,FALSE),IF(AND(NOT(ISERROR(FIND("1/2 Congé + ",D14))),(G14-F14+I14-H14+K14-J14)=0),VLOOKUP(D14,Systeemgegevens!$J:$K,2,FALSE)/2,IF(AND(NOT(ISERROR(FIND("1/2 Congé",D14))),ISERROR(FIND(" + ",D14)),ISERROR(FIND("1/2 Congé Synd.",D14))),VLOOKUP(D14,Systeemgegevens!$J:$K,2,FALSE),0)))</f>
        <v>0</v>
      </c>
      <c r="AD14" s="43">
        <f>IF(AND(OR(D14="1/2 Congé Synd.",D14="Congé Synd."),((G14-F14)+(I14-H14)+(K14-J14)=0)),VLOOKUP(D14,Systeemgegevens!$J:$K,2,FALSE),IF(AND(D14="1/2 Congé + 1/2 synd.",((G14-F14)+(I14-H14)+(K14-J14)=0)),AC14,0))</f>
        <v>0</v>
      </c>
      <c r="AE14" s="43">
        <f>IF(AND(D14="Jour de pont",((G14-F14)+(I14-H14)+(K14-J14)=0)),VLOOKUP(D14,Systeemgegevens!$J:$K,2,FALSE),0)</f>
        <v>0</v>
      </c>
      <c r="AF14" s="43">
        <f>IF(AND(D14="Jour libre 4/5",AND((G14-F14)+(I14-H14)+(K14-J14)=0)),VLOOKUP(D14,Systeemgegevens!$J:$K,2,FALSE),0)</f>
        <v>0</v>
      </c>
      <c r="AG14" s="118">
        <f>IF(AND(D14&lt;&gt;"",SUM(AB14:AF14)=0,D14&lt;&gt;$AB$4,D14&lt;&gt;$AC$4,D14&lt;&gt;$AE$4,D14&lt;&gt;$AF$4),VLOOKUP(D14,Systeemgegevens!$J:$K,2,FALSE),0)</f>
        <v>0</v>
      </c>
      <c r="AH14" s="119">
        <f t="shared" si="6"/>
        <v>0</v>
      </c>
      <c r="AI14" s="101">
        <f t="shared" si="7"/>
        <v>0</v>
      </c>
      <c r="AJ14" s="118">
        <f t="shared" si="19"/>
        <v>0</v>
      </c>
      <c r="AK14" s="119">
        <f t="shared" si="8"/>
        <v>0</v>
      </c>
      <c r="AL14" s="101">
        <f t="shared" si="9"/>
        <v>0</v>
      </c>
      <c r="AM14" s="43">
        <f t="shared" si="20"/>
        <v>0</v>
      </c>
      <c r="AN14" s="118">
        <f t="shared" si="21"/>
        <v>0</v>
      </c>
      <c r="AO14" s="122">
        <f t="shared" si="10"/>
        <v>0</v>
      </c>
      <c r="AP14" s="107">
        <f t="shared" si="11"/>
        <v>0</v>
      </c>
      <c r="AQ14" s="107">
        <f t="shared" si="12"/>
        <v>0</v>
      </c>
      <c r="AR14" s="123">
        <f t="shared" si="13"/>
        <v>0</v>
      </c>
      <c r="AS14" s="124">
        <f t="shared" si="14"/>
        <v>0</v>
      </c>
      <c r="AT14" s="124">
        <f t="shared" si="15"/>
        <v>0</v>
      </c>
      <c r="AU14" s="124">
        <f t="shared" si="16"/>
        <v>0</v>
      </c>
      <c r="AV14" s="117" t="s">
        <v>31</v>
      </c>
      <c r="AW14" s="129">
        <f>IF(($R$39=AV14)*AND($R$40&lt;&gt;""),VLOOKUP($R$40,'Barèmes police'!$T$4:$U$30,2),0)</f>
        <v>0</v>
      </c>
      <c r="AX14" s="16" t="str">
        <f>IF('Types de jours'!F20&lt;&gt;"",'Types de jours'!F20,"")</f>
        <v>1/2 Congé Synd.</v>
      </c>
      <c r="AY14" s="144">
        <f>IF(AX14&lt;&gt;"",'Types de jours'!I20,"")</f>
        <v>0.15833333333333333</v>
      </c>
      <c r="AZ14" s="269"/>
      <c r="BA14" s="154"/>
      <c r="BB14" s="154"/>
      <c r="BC14" s="154"/>
      <c r="BD14" s="154"/>
      <c r="BE14" s="154"/>
      <c r="BF14" s="154"/>
    </row>
    <row r="15" spans="1:58" ht="12.75" customHeight="1" x14ac:dyDescent="0.2">
      <c r="A15" s="34"/>
      <c r="B15" s="24" t="str">
        <f t="shared" si="0"/>
        <v>Je</v>
      </c>
      <c r="C15" s="25">
        <f t="shared" si="22"/>
        <v>45330</v>
      </c>
      <c r="D15" s="51"/>
      <c r="E15" s="116"/>
      <c r="F15" s="52"/>
      <c r="G15" s="53"/>
      <c r="H15" s="52"/>
      <c r="I15" s="53"/>
      <c r="J15" s="54"/>
      <c r="K15" s="55"/>
      <c r="L15" s="40">
        <f t="shared" si="1"/>
        <v>0</v>
      </c>
      <c r="M15" s="41">
        <f t="shared" si="23"/>
        <v>0.31666666666666665</v>
      </c>
      <c r="N15" s="42">
        <f>IF(AND(D15&lt;&gt;"Jour libre 4/5",B15&lt;&gt;"Sa",B15&lt;&gt;"Di"),SUM(N14,Configuration!$H$41),SUM(N14))</f>
        <v>9.1833333333333282</v>
      </c>
      <c r="O15" s="49" t="str">
        <f t="shared" si="24"/>
        <v>-</v>
      </c>
      <c r="P15" s="143">
        <f t="shared" si="17"/>
        <v>8.8666666666666618</v>
      </c>
      <c r="Q15" s="167">
        <f t="shared" si="18"/>
        <v>0</v>
      </c>
      <c r="R15" s="168">
        <f t="shared" si="18"/>
        <v>0</v>
      </c>
      <c r="S15" s="168">
        <f t="shared" si="18"/>
        <v>0</v>
      </c>
      <c r="T15" s="169">
        <f t="shared" si="18"/>
        <v>0</v>
      </c>
      <c r="U15" s="97">
        <f t="shared" si="2"/>
        <v>0</v>
      </c>
      <c r="V15" s="97">
        <f t="shared" si="3"/>
        <v>0</v>
      </c>
      <c r="W15" s="97">
        <f t="shared" si="4"/>
        <v>0</v>
      </c>
      <c r="X15" s="97">
        <f t="shared" si="5"/>
        <v>0</v>
      </c>
      <c r="Y15" s="209"/>
      <c r="Z15" s="210"/>
      <c r="AA15" s="210"/>
      <c r="AB15" s="128">
        <f>IF(AND(D15="Jour férié semaine",((G15-F15)+(I15-H15)+(K15-J15)=0)),VLOOKUP(D15,Systeemgegevens!$J:$K,2,FALSE),0)</f>
        <v>0</v>
      </c>
      <c r="AC15" s="43">
        <f>IF(AND(NOT(ISERROR(FIND("Congé",D15))),ISERROR(FIND("1/2",D15)),ISERROR(FIND("Synd",D15)),ISERROR(FIND("synd",D15)),(G15-F15+I15-H15+K15-J15)=0),VLOOKUP(D15,Systeemgegevens!$J:$K,2,FALSE),IF(AND(NOT(ISERROR(FIND("1/2 Congé + ",D15))),(G15-F15+I15-H15+K15-J15)=0),VLOOKUP(D15,Systeemgegevens!$J:$K,2,FALSE)/2,IF(AND(NOT(ISERROR(FIND("1/2 Congé",D15))),ISERROR(FIND(" + ",D15)),ISERROR(FIND("1/2 Congé Synd.",D15))),VLOOKUP(D15,Systeemgegevens!$J:$K,2,FALSE),0)))</f>
        <v>0</v>
      </c>
      <c r="AD15" s="43">
        <f>IF(AND(OR(D15="1/2 Congé Synd.",D15="Congé Synd."),((G15-F15)+(I15-H15)+(K15-J15)=0)),VLOOKUP(D15,Systeemgegevens!$J:$K,2,FALSE),IF(AND(D15="1/2 Congé + 1/2 synd.",((G15-F15)+(I15-H15)+(K15-J15)=0)),AC15,0))</f>
        <v>0</v>
      </c>
      <c r="AE15" s="43">
        <f>IF(AND(D15="Jour de pont",((G15-F15)+(I15-H15)+(K15-J15)=0)),VLOOKUP(D15,Systeemgegevens!$J:$K,2,FALSE),0)</f>
        <v>0</v>
      </c>
      <c r="AF15" s="43">
        <f>IF(AND(D15="Jour libre 4/5",AND((G15-F15)+(I15-H15)+(K15-J15)=0)),VLOOKUP(D15,Systeemgegevens!$J:$K,2,FALSE),0)</f>
        <v>0</v>
      </c>
      <c r="AG15" s="118">
        <f>IF(AND(D15&lt;&gt;"",SUM(AB15:AF15)=0,D15&lt;&gt;$AB$4,D15&lt;&gt;$AC$4,D15&lt;&gt;$AE$4,D15&lt;&gt;$AF$4),VLOOKUP(D15,Systeemgegevens!$J:$K,2,FALSE),0)</f>
        <v>0</v>
      </c>
      <c r="AH15" s="119">
        <f t="shared" si="6"/>
        <v>0</v>
      </c>
      <c r="AI15" s="101">
        <f t="shared" si="7"/>
        <v>0</v>
      </c>
      <c r="AJ15" s="118">
        <f t="shared" si="19"/>
        <v>0</v>
      </c>
      <c r="AK15" s="119">
        <f t="shared" si="8"/>
        <v>0</v>
      </c>
      <c r="AL15" s="101">
        <f t="shared" si="9"/>
        <v>0</v>
      </c>
      <c r="AM15" s="43">
        <f t="shared" si="20"/>
        <v>0</v>
      </c>
      <c r="AN15" s="118">
        <f t="shared" si="21"/>
        <v>0</v>
      </c>
      <c r="AO15" s="122">
        <f t="shared" si="10"/>
        <v>0</v>
      </c>
      <c r="AP15" s="107">
        <f t="shared" si="11"/>
        <v>0</v>
      </c>
      <c r="AQ15" s="107">
        <f t="shared" si="12"/>
        <v>0</v>
      </c>
      <c r="AR15" s="123">
        <f t="shared" si="13"/>
        <v>0</v>
      </c>
      <c r="AS15" s="124">
        <f t="shared" si="14"/>
        <v>0</v>
      </c>
      <c r="AT15" s="124">
        <f t="shared" si="15"/>
        <v>0</v>
      </c>
      <c r="AU15" s="124">
        <f t="shared" si="16"/>
        <v>0</v>
      </c>
      <c r="AV15" s="117" t="s">
        <v>30</v>
      </c>
      <c r="AW15" s="129">
        <f>IF(($R$39=AV15)*AND($R$40&lt;&gt;""),VLOOKUP($R$40,'Barèmes police'!$W$4:$X$30,2),0)</f>
        <v>0</v>
      </c>
      <c r="AX15" s="16" t="str">
        <f>IF('Types de jours'!F21&lt;&gt;"",'Types de jours'!F21,"")</f>
        <v>1/2 Congé + 1/2 synd.</v>
      </c>
      <c r="AY15" s="144">
        <f>IF(AX15&lt;&gt;"",'Types de jours'!I21,"")</f>
        <v>0.31666666666666665</v>
      </c>
      <c r="AZ15" s="269"/>
      <c r="BA15" s="154"/>
      <c r="BB15" s="154"/>
      <c r="BC15" s="154"/>
      <c r="BD15" s="154"/>
      <c r="BE15" s="154"/>
      <c r="BF15" s="154"/>
    </row>
    <row r="16" spans="1:58" ht="12.75" customHeight="1" x14ac:dyDescent="0.2">
      <c r="A16" s="34"/>
      <c r="B16" s="24" t="str">
        <f t="shared" si="0"/>
        <v>Ve</v>
      </c>
      <c r="C16" s="25">
        <f t="shared" si="22"/>
        <v>45331</v>
      </c>
      <c r="D16" s="51"/>
      <c r="E16" s="116"/>
      <c r="F16" s="52"/>
      <c r="G16" s="53"/>
      <c r="H16" s="52"/>
      <c r="I16" s="53"/>
      <c r="J16" s="54"/>
      <c r="K16" s="55"/>
      <c r="L16" s="40">
        <f t="shared" si="1"/>
        <v>0</v>
      </c>
      <c r="M16" s="41">
        <f t="shared" si="23"/>
        <v>0.31666666666666665</v>
      </c>
      <c r="N16" s="42">
        <f>IF(AND(D16&lt;&gt;"Jour libre 4/5",B16&lt;&gt;"Sa",B16&lt;&gt;"Di"),SUM(N15,Configuration!$H$41),SUM(N15))</f>
        <v>9.4999999999999947</v>
      </c>
      <c r="O16" s="49" t="str">
        <f t="shared" si="24"/>
        <v>-</v>
      </c>
      <c r="P16" s="143">
        <f t="shared" si="17"/>
        <v>9.1833333333333282</v>
      </c>
      <c r="Q16" s="167">
        <f t="shared" si="18"/>
        <v>0</v>
      </c>
      <c r="R16" s="168">
        <f t="shared" si="18"/>
        <v>0</v>
      </c>
      <c r="S16" s="168">
        <f t="shared" si="18"/>
        <v>0</v>
      </c>
      <c r="T16" s="169">
        <f t="shared" si="18"/>
        <v>0</v>
      </c>
      <c r="U16" s="97">
        <f t="shared" si="2"/>
        <v>0</v>
      </c>
      <c r="V16" s="97">
        <f t="shared" si="3"/>
        <v>0</v>
      </c>
      <c r="W16" s="97">
        <f t="shared" si="4"/>
        <v>0</v>
      </c>
      <c r="X16" s="97">
        <f t="shared" si="5"/>
        <v>0</v>
      </c>
      <c r="Y16" s="209"/>
      <c r="Z16" s="210"/>
      <c r="AA16" s="210"/>
      <c r="AB16" s="128">
        <f>IF(AND(D16="Jour férié semaine",((G16-F16)+(I16-H16)+(K16-J16)=0)),VLOOKUP(D16,Systeemgegevens!$J:$K,2,FALSE),0)</f>
        <v>0</v>
      </c>
      <c r="AC16" s="43">
        <f>IF(AND(NOT(ISERROR(FIND("Congé",D16))),ISERROR(FIND("1/2",D16)),ISERROR(FIND("Synd",D16)),ISERROR(FIND("synd",D16)),(G16-F16+I16-H16+K16-J16)=0),VLOOKUP(D16,Systeemgegevens!$J:$K,2,FALSE),IF(AND(NOT(ISERROR(FIND("1/2 Congé + ",D16))),(G16-F16+I16-H16+K16-J16)=0),VLOOKUP(D16,Systeemgegevens!$J:$K,2,FALSE)/2,IF(AND(NOT(ISERROR(FIND("1/2 Congé",D16))),ISERROR(FIND(" + ",D16)),ISERROR(FIND("1/2 Congé Synd.",D16))),VLOOKUP(D16,Systeemgegevens!$J:$K,2,FALSE),0)))</f>
        <v>0</v>
      </c>
      <c r="AD16" s="43">
        <f>IF(AND(OR(D16="1/2 Congé Synd.",D16="Congé Synd."),((G16-F16)+(I16-H16)+(K16-J16)=0)),VLOOKUP(D16,Systeemgegevens!$J:$K,2,FALSE),IF(AND(D16="1/2 Congé + 1/2 synd.",((G16-F16)+(I16-H16)+(K16-J16)=0)),AC16,0))</f>
        <v>0</v>
      </c>
      <c r="AE16" s="43">
        <f>IF(AND(D16="Jour de pont",((G16-F16)+(I16-H16)+(K16-J16)=0)),VLOOKUP(D16,Systeemgegevens!$J:$K,2,FALSE),0)</f>
        <v>0</v>
      </c>
      <c r="AF16" s="43">
        <f>IF(AND(D16="Jour libre 4/5",AND((G16-F16)+(I16-H16)+(K16-J16)=0)),VLOOKUP(D16,Systeemgegevens!$J:$K,2,FALSE),0)</f>
        <v>0</v>
      </c>
      <c r="AG16" s="118">
        <f>IF(AND(D16&lt;&gt;"",SUM(AB16:AF16)=0,D16&lt;&gt;$AB$4,D16&lt;&gt;$AC$4,D16&lt;&gt;$AE$4,D16&lt;&gt;$AF$4),VLOOKUP(D16,Systeemgegevens!$J:$K,2,FALSE),0)</f>
        <v>0</v>
      </c>
      <c r="AH16" s="119">
        <f t="shared" si="6"/>
        <v>0</v>
      </c>
      <c r="AI16" s="101">
        <f t="shared" si="7"/>
        <v>0</v>
      </c>
      <c r="AJ16" s="118">
        <f t="shared" si="19"/>
        <v>0</v>
      </c>
      <c r="AK16" s="119">
        <f t="shared" si="8"/>
        <v>0</v>
      </c>
      <c r="AL16" s="101">
        <f t="shared" si="9"/>
        <v>0</v>
      </c>
      <c r="AM16" s="43">
        <f t="shared" si="20"/>
        <v>0</v>
      </c>
      <c r="AN16" s="118">
        <f t="shared" si="21"/>
        <v>0</v>
      </c>
      <c r="AO16" s="122">
        <f t="shared" si="10"/>
        <v>0</v>
      </c>
      <c r="AP16" s="107">
        <f t="shared" si="11"/>
        <v>0</v>
      </c>
      <c r="AQ16" s="107">
        <f t="shared" si="12"/>
        <v>0</v>
      </c>
      <c r="AR16" s="123">
        <f t="shared" si="13"/>
        <v>0</v>
      </c>
      <c r="AS16" s="124">
        <f t="shared" si="14"/>
        <v>0</v>
      </c>
      <c r="AT16" s="124">
        <f t="shared" si="15"/>
        <v>0</v>
      </c>
      <c r="AU16" s="124">
        <f t="shared" si="16"/>
        <v>0</v>
      </c>
      <c r="AV16" s="117" t="s">
        <v>29</v>
      </c>
      <c r="AW16" s="129">
        <f>IF(($R$39=AV16)*AND($R$40&lt;&gt;""),VLOOKUP($R$40,'Barèmes police'!$Z$4:$AA$30,2),0)</f>
        <v>0</v>
      </c>
      <c r="AX16" s="16" t="str">
        <f>IF('Types de jours'!F22&lt;&gt;"",'Types de jours'!F22,"")</f>
        <v>Jour férié semaine</v>
      </c>
      <c r="AY16" s="144">
        <f>IF(AX16&lt;&gt;"",'Types de jours'!I22,"")</f>
        <v>0.31666666666666665</v>
      </c>
      <c r="AZ16" s="269"/>
      <c r="BA16" s="154"/>
      <c r="BB16" s="154"/>
      <c r="BC16" s="154"/>
      <c r="BD16" s="154"/>
      <c r="BE16" s="154"/>
      <c r="BF16" s="154"/>
    </row>
    <row r="17" spans="1:58" ht="12.75" customHeight="1" x14ac:dyDescent="0.2">
      <c r="A17" s="34"/>
      <c r="B17" s="24" t="str">
        <f t="shared" si="0"/>
        <v>Sa</v>
      </c>
      <c r="C17" s="25">
        <f t="shared" si="22"/>
        <v>45332</v>
      </c>
      <c r="D17" s="51"/>
      <c r="E17" s="116"/>
      <c r="F17" s="52"/>
      <c r="G17" s="53"/>
      <c r="H17" s="52"/>
      <c r="I17" s="53"/>
      <c r="J17" s="54"/>
      <c r="K17" s="55"/>
      <c r="L17" s="40">
        <f t="shared" si="1"/>
        <v>0</v>
      </c>
      <c r="M17" s="41">
        <f t="shared" si="23"/>
        <v>0.31666666666666665</v>
      </c>
      <c r="N17" s="42">
        <f>IF(AND(D17&lt;&gt;"Jour libre 4/5",B17&lt;&gt;"Sa",B17&lt;&gt;"Di"),SUM(N16,Configuration!$H$41),SUM(N16))</f>
        <v>9.4999999999999947</v>
      </c>
      <c r="O17" s="49" t="str">
        <f t="shared" si="24"/>
        <v>-</v>
      </c>
      <c r="P17" s="143">
        <f t="shared" si="17"/>
        <v>9.1833333333333282</v>
      </c>
      <c r="Q17" s="167">
        <f t="shared" si="18"/>
        <v>0</v>
      </c>
      <c r="R17" s="168">
        <f t="shared" si="18"/>
        <v>0</v>
      </c>
      <c r="S17" s="168">
        <f t="shared" si="18"/>
        <v>0</v>
      </c>
      <c r="T17" s="169">
        <f t="shared" si="18"/>
        <v>0</v>
      </c>
      <c r="U17" s="97">
        <f t="shared" si="2"/>
        <v>0</v>
      </c>
      <c r="V17" s="97">
        <f t="shared" si="3"/>
        <v>0</v>
      </c>
      <c r="W17" s="97">
        <f t="shared" si="4"/>
        <v>0</v>
      </c>
      <c r="X17" s="97">
        <f t="shared" si="5"/>
        <v>0</v>
      </c>
      <c r="Y17" s="209"/>
      <c r="Z17" s="210"/>
      <c r="AA17" s="210"/>
      <c r="AB17" s="128">
        <f>IF(AND(D17="Jour férié semaine",((G17-F17)+(I17-H17)+(K17-J17)=0)),VLOOKUP(D17,Systeemgegevens!$J:$K,2,FALSE),0)</f>
        <v>0</v>
      </c>
      <c r="AC17" s="43">
        <f>IF(AND(NOT(ISERROR(FIND("Congé",D17))),ISERROR(FIND("1/2",D17)),ISERROR(FIND("Synd",D17)),ISERROR(FIND("synd",D17)),(G17-F17+I17-H17+K17-J17)=0),VLOOKUP(D17,Systeemgegevens!$J:$K,2,FALSE),IF(AND(NOT(ISERROR(FIND("1/2 Congé + ",D17))),(G17-F17+I17-H17+K17-J17)=0),VLOOKUP(D17,Systeemgegevens!$J:$K,2,FALSE)/2,IF(AND(NOT(ISERROR(FIND("1/2 Congé",D17))),ISERROR(FIND(" + ",D17)),ISERROR(FIND("1/2 Congé Synd.",D17))),VLOOKUP(D17,Systeemgegevens!$J:$K,2,FALSE),0)))</f>
        <v>0</v>
      </c>
      <c r="AD17" s="43">
        <f>IF(AND(OR(D17="1/2 Congé Synd.",D17="Congé Synd."),((G17-F17)+(I17-H17)+(K17-J17)=0)),VLOOKUP(D17,Systeemgegevens!$J:$K,2,FALSE),IF(AND(D17="1/2 Congé + 1/2 synd.",((G17-F17)+(I17-H17)+(K17-J17)=0)),AC17,0))</f>
        <v>0</v>
      </c>
      <c r="AE17" s="43">
        <f>IF(AND(D17="Jour de pont",((G17-F17)+(I17-H17)+(K17-J17)=0)),VLOOKUP(D17,Systeemgegevens!$J:$K,2,FALSE),0)</f>
        <v>0</v>
      </c>
      <c r="AF17" s="43">
        <f>IF(AND(D17="Jour libre 4/5",AND((G17-F17)+(I17-H17)+(K17-J17)=0)),VLOOKUP(D17,Systeemgegevens!$J:$K,2,FALSE),0)</f>
        <v>0</v>
      </c>
      <c r="AG17" s="118">
        <f>IF(AND(D17&lt;&gt;"",SUM(AB17:AF17)=0,D17&lt;&gt;$AB$4,D17&lt;&gt;$AC$4,D17&lt;&gt;$AE$4,D17&lt;&gt;$AF$4),VLOOKUP(D17,Systeemgegevens!$J:$K,2,FALSE),0)</f>
        <v>0</v>
      </c>
      <c r="AH17" s="119">
        <f t="shared" si="6"/>
        <v>0</v>
      </c>
      <c r="AI17" s="101">
        <f t="shared" si="7"/>
        <v>0</v>
      </c>
      <c r="AJ17" s="118">
        <f t="shared" si="19"/>
        <v>0</v>
      </c>
      <c r="AK17" s="119">
        <f t="shared" si="8"/>
        <v>0</v>
      </c>
      <c r="AL17" s="101">
        <f t="shared" si="9"/>
        <v>0</v>
      </c>
      <c r="AM17" s="43">
        <f t="shared" si="20"/>
        <v>0</v>
      </c>
      <c r="AN17" s="118">
        <f t="shared" si="21"/>
        <v>0</v>
      </c>
      <c r="AO17" s="122">
        <f t="shared" si="10"/>
        <v>0</v>
      </c>
      <c r="AP17" s="107">
        <f t="shared" si="11"/>
        <v>0</v>
      </c>
      <c r="AQ17" s="107">
        <f t="shared" si="12"/>
        <v>0</v>
      </c>
      <c r="AR17" s="123">
        <f t="shared" si="13"/>
        <v>0</v>
      </c>
      <c r="AS17" s="124">
        <f t="shared" si="14"/>
        <v>0</v>
      </c>
      <c r="AT17" s="124">
        <f t="shared" si="15"/>
        <v>0</v>
      </c>
      <c r="AU17" s="124">
        <f t="shared" si="16"/>
        <v>0</v>
      </c>
      <c r="AV17" s="117" t="s">
        <v>28</v>
      </c>
      <c r="AW17" s="129">
        <f>IF(($R$39=AV17)*AND($R$40&lt;&gt;""),VLOOKUP($R$40,'Barèmes police'!$AC$4:$AD$30,2),0)</f>
        <v>0</v>
      </c>
      <c r="AX17" s="16" t="str">
        <f>IF('Types de jours'!F23&lt;&gt;"",'Types de jours'!F23,"")</f>
        <v>Jour libre 4/5</v>
      </c>
      <c r="AY17" s="144">
        <f>IF(AX17&lt;&gt;"",'Types de jours'!I23,"")</f>
        <v>0</v>
      </c>
      <c r="AZ17" s="269"/>
      <c r="BA17" s="154"/>
      <c r="BB17" s="154"/>
      <c r="BC17" s="154"/>
      <c r="BD17" s="154"/>
      <c r="BE17" s="154"/>
      <c r="BF17" s="154"/>
    </row>
    <row r="18" spans="1:58" ht="12.75" customHeight="1" x14ac:dyDescent="0.2">
      <c r="A18" s="34"/>
      <c r="B18" s="24" t="str">
        <f t="shared" si="0"/>
        <v>Di</v>
      </c>
      <c r="C18" s="25">
        <f t="shared" si="22"/>
        <v>45333</v>
      </c>
      <c r="D18" s="51"/>
      <c r="E18" s="116"/>
      <c r="F18" s="52"/>
      <c r="G18" s="53"/>
      <c r="H18" s="52"/>
      <c r="I18" s="53"/>
      <c r="J18" s="54"/>
      <c r="K18" s="55"/>
      <c r="L18" s="40">
        <f t="shared" si="1"/>
        <v>0</v>
      </c>
      <c r="M18" s="41">
        <f t="shared" si="23"/>
        <v>0.31666666666666665</v>
      </c>
      <c r="N18" s="42">
        <f>IF(AND(D18&lt;&gt;"Jour libre 4/5",B18&lt;&gt;"Sa",B18&lt;&gt;"Di"),SUM(N17,Configuration!$H$41),SUM(N17))</f>
        <v>9.4999999999999947</v>
      </c>
      <c r="O18" s="49" t="str">
        <f t="shared" si="24"/>
        <v>-</v>
      </c>
      <c r="P18" s="143">
        <f t="shared" si="17"/>
        <v>9.1833333333333282</v>
      </c>
      <c r="Q18" s="167">
        <f t="shared" si="18"/>
        <v>0</v>
      </c>
      <c r="R18" s="168">
        <f t="shared" si="18"/>
        <v>0</v>
      </c>
      <c r="S18" s="168">
        <f t="shared" si="18"/>
        <v>0</v>
      </c>
      <c r="T18" s="169">
        <f t="shared" si="18"/>
        <v>0</v>
      </c>
      <c r="U18" s="97">
        <f t="shared" si="2"/>
        <v>0</v>
      </c>
      <c r="V18" s="97">
        <f t="shared" si="3"/>
        <v>0</v>
      </c>
      <c r="W18" s="97">
        <f t="shared" si="4"/>
        <v>0</v>
      </c>
      <c r="X18" s="97">
        <f t="shared" si="5"/>
        <v>0</v>
      </c>
      <c r="Y18" s="209"/>
      <c r="Z18" s="210"/>
      <c r="AA18" s="210"/>
      <c r="AB18" s="128">
        <f>IF(AND(D18="Jour férié semaine",((G18-F18)+(I18-H18)+(K18-J18)=0)),VLOOKUP(D18,Systeemgegevens!$J:$K,2,FALSE),0)</f>
        <v>0</v>
      </c>
      <c r="AC18" s="43">
        <f>IF(AND(NOT(ISERROR(FIND("Congé",D18))),ISERROR(FIND("1/2",D18)),ISERROR(FIND("Synd",D18)),ISERROR(FIND("synd",D18)),(G18-F18+I18-H18+K18-J18)=0),VLOOKUP(D18,Systeemgegevens!$J:$K,2,FALSE),IF(AND(NOT(ISERROR(FIND("1/2 Congé + ",D18))),(G18-F18+I18-H18+K18-J18)=0),VLOOKUP(D18,Systeemgegevens!$J:$K,2,FALSE)/2,IF(AND(NOT(ISERROR(FIND("1/2 Congé",D18))),ISERROR(FIND(" + ",D18)),ISERROR(FIND("1/2 Congé Synd.",D18))),VLOOKUP(D18,Systeemgegevens!$J:$K,2,FALSE),0)))</f>
        <v>0</v>
      </c>
      <c r="AD18" s="43">
        <f>IF(AND(OR(D18="1/2 Congé Synd.",D18="Congé Synd."),((G18-F18)+(I18-H18)+(K18-J18)=0)),VLOOKUP(D18,Systeemgegevens!$J:$K,2,FALSE),IF(AND(D18="1/2 Congé + 1/2 synd.",((G18-F18)+(I18-H18)+(K18-J18)=0)),AC18,0))</f>
        <v>0</v>
      </c>
      <c r="AE18" s="43">
        <f>IF(AND(D18="Jour de pont",((G18-F18)+(I18-H18)+(K18-J18)=0)),VLOOKUP(D18,Systeemgegevens!$J:$K,2,FALSE),0)</f>
        <v>0</v>
      </c>
      <c r="AF18" s="43">
        <f>IF(AND(D18="Jour libre 4/5",AND((G18-F18)+(I18-H18)+(K18-J18)=0)),VLOOKUP(D18,Systeemgegevens!$J:$K,2,FALSE),0)</f>
        <v>0</v>
      </c>
      <c r="AG18" s="118">
        <f>IF(AND(D18&lt;&gt;"",SUM(AB18:AF18)=0,D18&lt;&gt;$AB$4,D18&lt;&gt;$AC$4,D18&lt;&gt;$AE$4,D18&lt;&gt;$AF$4),VLOOKUP(D18,Systeemgegevens!$J:$K,2,FALSE),0)</f>
        <v>0</v>
      </c>
      <c r="AH18" s="119">
        <f t="shared" si="6"/>
        <v>0</v>
      </c>
      <c r="AI18" s="101">
        <f t="shared" si="7"/>
        <v>0</v>
      </c>
      <c r="AJ18" s="118">
        <f t="shared" si="19"/>
        <v>0</v>
      </c>
      <c r="AK18" s="119">
        <f t="shared" si="8"/>
        <v>0</v>
      </c>
      <c r="AL18" s="101">
        <f t="shared" si="9"/>
        <v>0</v>
      </c>
      <c r="AM18" s="43">
        <f t="shared" si="20"/>
        <v>0</v>
      </c>
      <c r="AN18" s="118">
        <f t="shared" si="21"/>
        <v>0</v>
      </c>
      <c r="AO18" s="122">
        <f t="shared" si="10"/>
        <v>0</v>
      </c>
      <c r="AP18" s="107">
        <f t="shared" si="11"/>
        <v>0</v>
      </c>
      <c r="AQ18" s="107">
        <f t="shared" si="12"/>
        <v>0</v>
      </c>
      <c r="AR18" s="123">
        <f t="shared" si="13"/>
        <v>0</v>
      </c>
      <c r="AS18" s="124">
        <f t="shared" si="14"/>
        <v>0</v>
      </c>
      <c r="AT18" s="124">
        <f t="shared" si="15"/>
        <v>0</v>
      </c>
      <c r="AU18" s="124">
        <f t="shared" si="16"/>
        <v>0</v>
      </c>
      <c r="AV18" s="117" t="s">
        <v>27</v>
      </c>
      <c r="AW18" s="129">
        <f>IF(($R$39=AV18)*AND($R$40&lt;&gt;""),VLOOKUP($R$40,'Barèmes police'!$AF$4:$AG$30,2),0)</f>
        <v>0</v>
      </c>
      <c r="AX18" s="16" t="str">
        <f>IF('Types de jours'!F24&lt;&gt;"",'Types de jours'!F24,"")</f>
        <v>Jour de pont</v>
      </c>
      <c r="AY18" s="144">
        <f>IF(AX18&lt;&gt;"",'Types de jours'!I24,"")</f>
        <v>0.31666666666666665</v>
      </c>
      <c r="AZ18" s="269"/>
      <c r="BA18" s="154"/>
      <c r="BB18" s="154"/>
      <c r="BC18" s="154"/>
      <c r="BD18" s="154"/>
      <c r="BE18" s="154"/>
      <c r="BF18" s="154"/>
    </row>
    <row r="19" spans="1:58" ht="12.75" customHeight="1" x14ac:dyDescent="0.2">
      <c r="A19" s="34"/>
      <c r="B19" s="24" t="str">
        <f t="shared" si="0"/>
        <v>Lu</v>
      </c>
      <c r="C19" s="25">
        <f t="shared" si="22"/>
        <v>45334</v>
      </c>
      <c r="D19" s="51"/>
      <c r="E19" s="116"/>
      <c r="F19" s="52"/>
      <c r="G19" s="53"/>
      <c r="H19" s="52"/>
      <c r="I19" s="53"/>
      <c r="J19" s="54"/>
      <c r="K19" s="55"/>
      <c r="L19" s="40">
        <f t="shared" si="1"/>
        <v>0</v>
      </c>
      <c r="M19" s="41">
        <f t="shared" si="23"/>
        <v>0.31666666666666665</v>
      </c>
      <c r="N19" s="42">
        <f>IF(AND(D19&lt;&gt;"Jour libre 4/5",B19&lt;&gt;"Sa",B19&lt;&gt;"Di"),SUM(N18,Configuration!$H$41),SUM(N18))</f>
        <v>9.8166666666666611</v>
      </c>
      <c r="O19" s="49" t="str">
        <f t="shared" si="24"/>
        <v>-</v>
      </c>
      <c r="P19" s="143">
        <f t="shared" si="17"/>
        <v>9.4999999999999947</v>
      </c>
      <c r="Q19" s="167">
        <f t="shared" si="18"/>
        <v>0</v>
      </c>
      <c r="R19" s="168">
        <f t="shared" si="18"/>
        <v>0</v>
      </c>
      <c r="S19" s="168">
        <f t="shared" si="18"/>
        <v>0</v>
      </c>
      <c r="T19" s="169">
        <f t="shared" si="18"/>
        <v>0</v>
      </c>
      <c r="U19" s="97">
        <f t="shared" si="2"/>
        <v>0</v>
      </c>
      <c r="V19" s="97">
        <f t="shared" si="3"/>
        <v>0</v>
      </c>
      <c r="W19" s="97">
        <f t="shared" si="4"/>
        <v>0</v>
      </c>
      <c r="X19" s="97">
        <f t="shared" si="5"/>
        <v>0</v>
      </c>
      <c r="Y19" s="209"/>
      <c r="Z19" s="210"/>
      <c r="AA19" s="210"/>
      <c r="AB19" s="128">
        <f>IF(AND(D19="Jour férié semaine",((G19-F19)+(I19-H19)+(K19-J19)=0)),VLOOKUP(D19,Systeemgegevens!$J:$K,2,FALSE),0)</f>
        <v>0</v>
      </c>
      <c r="AC19" s="43">
        <f>IF(AND(NOT(ISERROR(FIND("Congé",D19))),ISERROR(FIND("1/2",D19)),ISERROR(FIND("Synd",D19)),ISERROR(FIND("synd",D19)),(G19-F19+I19-H19+K19-J19)=0),VLOOKUP(D19,Systeemgegevens!$J:$K,2,FALSE),IF(AND(NOT(ISERROR(FIND("1/2 Congé + ",D19))),(G19-F19+I19-H19+K19-J19)=0),VLOOKUP(D19,Systeemgegevens!$J:$K,2,FALSE)/2,IF(AND(NOT(ISERROR(FIND("1/2 Congé",D19))),ISERROR(FIND(" + ",D19)),ISERROR(FIND("1/2 Congé Synd.",D19))),VLOOKUP(D19,Systeemgegevens!$J:$K,2,FALSE),0)))</f>
        <v>0</v>
      </c>
      <c r="AD19" s="43">
        <f>IF(AND(OR(D19="1/2 Congé Synd.",D19="Congé Synd."),((G19-F19)+(I19-H19)+(K19-J19)=0)),VLOOKUP(D19,Systeemgegevens!$J:$K,2,FALSE),IF(AND(D19="1/2 Congé + 1/2 synd.",((G19-F19)+(I19-H19)+(K19-J19)=0)),AC19,0))</f>
        <v>0</v>
      </c>
      <c r="AE19" s="43">
        <f>IF(AND(D19="Jour de pont",((G19-F19)+(I19-H19)+(K19-J19)=0)),VLOOKUP(D19,Systeemgegevens!$J:$K,2,FALSE),0)</f>
        <v>0</v>
      </c>
      <c r="AF19" s="43">
        <f>IF(AND(D19="Jour libre 4/5",AND((G19-F19)+(I19-H19)+(K19-J19)=0)),VLOOKUP(D19,Systeemgegevens!$J:$K,2,FALSE),0)</f>
        <v>0</v>
      </c>
      <c r="AG19" s="118">
        <f>IF(AND(D19&lt;&gt;"",SUM(AB19:AF19)=0,D19&lt;&gt;$AB$4,D19&lt;&gt;$AC$4,D19&lt;&gt;$AE$4,D19&lt;&gt;$AF$4),VLOOKUP(D19,Systeemgegevens!$J:$K,2,FALSE),0)</f>
        <v>0</v>
      </c>
      <c r="AH19" s="119">
        <f t="shared" si="6"/>
        <v>0</v>
      </c>
      <c r="AI19" s="101">
        <f t="shared" si="7"/>
        <v>0</v>
      </c>
      <c r="AJ19" s="118">
        <f t="shared" si="19"/>
        <v>0</v>
      </c>
      <c r="AK19" s="119">
        <f t="shared" si="8"/>
        <v>0</v>
      </c>
      <c r="AL19" s="101">
        <f t="shared" si="9"/>
        <v>0</v>
      </c>
      <c r="AM19" s="43">
        <f t="shared" si="20"/>
        <v>0</v>
      </c>
      <c r="AN19" s="118">
        <f t="shared" si="21"/>
        <v>0</v>
      </c>
      <c r="AO19" s="122">
        <f t="shared" si="10"/>
        <v>0</v>
      </c>
      <c r="AP19" s="107">
        <f t="shared" si="11"/>
        <v>0</v>
      </c>
      <c r="AQ19" s="107">
        <f t="shared" si="12"/>
        <v>0</v>
      </c>
      <c r="AR19" s="123">
        <f t="shared" si="13"/>
        <v>0</v>
      </c>
      <c r="AS19" s="124">
        <f t="shared" si="14"/>
        <v>0</v>
      </c>
      <c r="AT19" s="124">
        <f t="shared" si="15"/>
        <v>0</v>
      </c>
      <c r="AU19" s="124">
        <f t="shared" si="16"/>
        <v>0</v>
      </c>
      <c r="AV19" s="117" t="s">
        <v>26</v>
      </c>
      <c r="AW19" s="129">
        <f>IF(($R$39=AV19)*AND($R$40&lt;&gt;""),VLOOKUP($R$40,'Barèmes police'!$AI$4:$AJ$30,2),0)</f>
        <v>0</v>
      </c>
      <c r="AX19" s="16" t="str">
        <f>IF('Types de jours'!F25&lt;&gt;"",'Types de jours'!F25,"")</f>
        <v>Congé 12h</v>
      </c>
      <c r="AY19" s="144">
        <f>IF(AX19&lt;&gt;"",'Types de jours'!I25,"")</f>
        <v>0.5</v>
      </c>
      <c r="AZ19" s="269"/>
      <c r="BA19" s="154"/>
      <c r="BB19" s="154"/>
      <c r="BC19" s="154"/>
      <c r="BD19" s="154"/>
      <c r="BE19" s="154"/>
      <c r="BF19" s="154"/>
    </row>
    <row r="20" spans="1:58" ht="12.75" customHeight="1" x14ac:dyDescent="0.2">
      <c r="A20" s="34"/>
      <c r="B20" s="24" t="str">
        <f t="shared" si="0"/>
        <v>Ma</v>
      </c>
      <c r="C20" s="25">
        <f t="shared" si="22"/>
        <v>45335</v>
      </c>
      <c r="D20" s="51"/>
      <c r="E20" s="116"/>
      <c r="F20" s="52"/>
      <c r="G20" s="53"/>
      <c r="H20" s="52"/>
      <c r="I20" s="53"/>
      <c r="J20" s="54"/>
      <c r="K20" s="55"/>
      <c r="L20" s="40">
        <f t="shared" si="1"/>
        <v>0</v>
      </c>
      <c r="M20" s="41">
        <f t="shared" si="23"/>
        <v>0.31666666666666665</v>
      </c>
      <c r="N20" s="42">
        <f>IF(AND(D20&lt;&gt;"Jour libre 4/5",B20&lt;&gt;"Sa",B20&lt;&gt;"Di"),SUM(N19,Configuration!$H$41),SUM(N19))</f>
        <v>10.133333333333328</v>
      </c>
      <c r="O20" s="49" t="str">
        <f t="shared" si="24"/>
        <v>-</v>
      </c>
      <c r="P20" s="143">
        <f t="shared" si="17"/>
        <v>9.8166666666666611</v>
      </c>
      <c r="Q20" s="167">
        <f t="shared" si="18"/>
        <v>0</v>
      </c>
      <c r="R20" s="168">
        <f t="shared" si="18"/>
        <v>0</v>
      </c>
      <c r="S20" s="168">
        <f t="shared" si="18"/>
        <v>0</v>
      </c>
      <c r="T20" s="169">
        <f t="shared" si="18"/>
        <v>0</v>
      </c>
      <c r="U20" s="97">
        <f t="shared" si="2"/>
        <v>0</v>
      </c>
      <c r="V20" s="97">
        <f t="shared" si="3"/>
        <v>0</v>
      </c>
      <c r="W20" s="97">
        <f t="shared" si="4"/>
        <v>0</v>
      </c>
      <c r="X20" s="97">
        <f t="shared" si="5"/>
        <v>0</v>
      </c>
      <c r="Y20" s="209"/>
      <c r="Z20" s="210"/>
      <c r="AA20" s="210"/>
      <c r="AB20" s="128">
        <f>IF(AND(D20="Jour férié semaine",((G20-F20)+(I20-H20)+(K20-J20)=0)),VLOOKUP(D20,Systeemgegevens!$J:$K,2,FALSE),0)</f>
        <v>0</v>
      </c>
      <c r="AC20" s="43">
        <f>IF(AND(NOT(ISERROR(FIND("Congé",D20))),ISERROR(FIND("1/2",D20)),ISERROR(FIND("Synd",D20)),ISERROR(FIND("synd",D20)),(G20-F20+I20-H20+K20-J20)=0),VLOOKUP(D20,Systeemgegevens!$J:$K,2,FALSE),IF(AND(NOT(ISERROR(FIND("1/2 Congé + ",D20))),(G20-F20+I20-H20+K20-J20)=0),VLOOKUP(D20,Systeemgegevens!$J:$K,2,FALSE)/2,IF(AND(NOT(ISERROR(FIND("1/2 Congé",D20))),ISERROR(FIND(" + ",D20)),ISERROR(FIND("1/2 Congé Synd.",D20))),VLOOKUP(D20,Systeemgegevens!$J:$K,2,FALSE),0)))</f>
        <v>0</v>
      </c>
      <c r="AD20" s="43">
        <f>IF(AND(OR(D20="1/2 Congé Synd.",D20="Congé Synd."),((G20-F20)+(I20-H20)+(K20-J20)=0)),VLOOKUP(D20,Systeemgegevens!$J:$K,2,FALSE),IF(AND(D20="1/2 Congé + 1/2 synd.",((G20-F20)+(I20-H20)+(K20-J20)=0)),AC20,0))</f>
        <v>0</v>
      </c>
      <c r="AE20" s="43">
        <f>IF(AND(D20="Jour de pont",((G20-F20)+(I20-H20)+(K20-J20)=0)),VLOOKUP(D20,Systeemgegevens!$J:$K,2,FALSE),0)</f>
        <v>0</v>
      </c>
      <c r="AF20" s="43">
        <f>IF(AND(D20="Jour libre 4/5",AND((G20-F20)+(I20-H20)+(K20-J20)=0)),VLOOKUP(D20,Systeemgegevens!$J:$K,2,FALSE),0)</f>
        <v>0</v>
      </c>
      <c r="AG20" s="118">
        <f>IF(AND(D20&lt;&gt;"",SUM(AB20:AF20)=0,D20&lt;&gt;$AB$4,D20&lt;&gt;$AC$4,D20&lt;&gt;$AE$4,D20&lt;&gt;$AF$4),VLOOKUP(D20,Systeemgegevens!$J:$K,2,FALSE),0)</f>
        <v>0</v>
      </c>
      <c r="AH20" s="119">
        <f t="shared" si="6"/>
        <v>0</v>
      </c>
      <c r="AI20" s="101">
        <f t="shared" si="7"/>
        <v>0</v>
      </c>
      <c r="AJ20" s="118">
        <f t="shared" si="19"/>
        <v>0</v>
      </c>
      <c r="AK20" s="119">
        <f t="shared" si="8"/>
        <v>0</v>
      </c>
      <c r="AL20" s="101">
        <f t="shared" si="9"/>
        <v>0</v>
      </c>
      <c r="AM20" s="43">
        <f t="shared" si="20"/>
        <v>0</v>
      </c>
      <c r="AN20" s="118">
        <f t="shared" si="21"/>
        <v>0</v>
      </c>
      <c r="AO20" s="122">
        <f t="shared" si="10"/>
        <v>0</v>
      </c>
      <c r="AP20" s="107">
        <f t="shared" si="11"/>
        <v>0</v>
      </c>
      <c r="AQ20" s="107">
        <f t="shared" si="12"/>
        <v>0</v>
      </c>
      <c r="AR20" s="123">
        <f t="shared" si="13"/>
        <v>0</v>
      </c>
      <c r="AS20" s="124">
        <f t="shared" si="14"/>
        <v>0</v>
      </c>
      <c r="AT20" s="124">
        <f t="shared" si="15"/>
        <v>0</v>
      </c>
      <c r="AU20" s="124">
        <f t="shared" si="16"/>
        <v>0</v>
      </c>
      <c r="AV20" s="117" t="s">
        <v>25</v>
      </c>
      <c r="AW20" s="129">
        <f>IF(($R$39=AV20)*AND($R$40&lt;&gt;""),VLOOKUP($R$40,'Barèmes police'!$AL$4:$AM$30,2),0)</f>
        <v>0</v>
      </c>
      <c r="AX20" s="16" t="str">
        <f>IF('Types de jours'!F26&lt;&gt;"",'Types de jours'!F26,"")</f>
        <v/>
      </c>
      <c r="AY20" s="144" t="str">
        <f>IF(AX20&lt;&gt;"",'Types de jours'!I26,"")</f>
        <v/>
      </c>
      <c r="AZ20" s="269"/>
      <c r="BA20" s="154"/>
      <c r="BB20" s="154"/>
      <c r="BC20" s="154"/>
      <c r="BD20" s="154"/>
      <c r="BE20" s="154"/>
      <c r="BF20" s="154"/>
    </row>
    <row r="21" spans="1:58" ht="12.75" customHeight="1" x14ac:dyDescent="0.2">
      <c r="A21" s="34"/>
      <c r="B21" s="24" t="str">
        <f t="shared" si="0"/>
        <v>Me</v>
      </c>
      <c r="C21" s="25">
        <f t="shared" si="22"/>
        <v>45336</v>
      </c>
      <c r="D21" s="51"/>
      <c r="E21" s="116"/>
      <c r="F21" s="52"/>
      <c r="G21" s="53"/>
      <c r="H21" s="52"/>
      <c r="I21" s="53"/>
      <c r="J21" s="54"/>
      <c r="K21" s="55"/>
      <c r="L21" s="40">
        <f t="shared" si="1"/>
        <v>0</v>
      </c>
      <c r="M21" s="41">
        <f t="shared" si="23"/>
        <v>0.31666666666666665</v>
      </c>
      <c r="N21" s="42">
        <f>IF(AND(D21&lt;&gt;"Jour libre 4/5",B21&lt;&gt;"Sa",B21&lt;&gt;"Di"),SUM(N20,Configuration!$H$41),SUM(N20))</f>
        <v>10.449999999999994</v>
      </c>
      <c r="O21" s="49" t="str">
        <f t="shared" si="24"/>
        <v>-</v>
      </c>
      <c r="P21" s="143">
        <f t="shared" si="17"/>
        <v>10.133333333333328</v>
      </c>
      <c r="Q21" s="167">
        <f t="shared" si="18"/>
        <v>0</v>
      </c>
      <c r="R21" s="168">
        <f t="shared" si="18"/>
        <v>0</v>
      </c>
      <c r="S21" s="168">
        <f t="shared" si="18"/>
        <v>0</v>
      </c>
      <c r="T21" s="169">
        <f t="shared" si="18"/>
        <v>0</v>
      </c>
      <c r="U21" s="97">
        <f t="shared" si="2"/>
        <v>0</v>
      </c>
      <c r="V21" s="97">
        <f t="shared" si="3"/>
        <v>0</v>
      </c>
      <c r="W21" s="97">
        <f t="shared" si="4"/>
        <v>0</v>
      </c>
      <c r="X21" s="97">
        <f t="shared" si="5"/>
        <v>0</v>
      </c>
      <c r="Y21" s="209"/>
      <c r="Z21" s="210"/>
      <c r="AA21" s="210"/>
      <c r="AB21" s="128">
        <f>IF(AND(D21="Jour férié semaine",((G21-F21)+(I21-H21)+(K21-J21)=0)),VLOOKUP(D21,Systeemgegevens!$J:$K,2,FALSE),0)</f>
        <v>0</v>
      </c>
      <c r="AC21" s="43">
        <f>IF(AND(NOT(ISERROR(FIND("Congé",D21))),ISERROR(FIND("1/2",D21)),ISERROR(FIND("Synd",D21)),ISERROR(FIND("synd",D21)),(G21-F21+I21-H21+K21-J21)=0),VLOOKUP(D21,Systeemgegevens!$J:$K,2,FALSE),IF(AND(NOT(ISERROR(FIND("1/2 Congé + ",D21))),(G21-F21+I21-H21+K21-J21)=0),VLOOKUP(D21,Systeemgegevens!$J:$K,2,FALSE)/2,IF(AND(NOT(ISERROR(FIND("1/2 Congé",D21))),ISERROR(FIND(" + ",D21)),ISERROR(FIND("1/2 Congé Synd.",D21))),VLOOKUP(D21,Systeemgegevens!$J:$K,2,FALSE),0)))</f>
        <v>0</v>
      </c>
      <c r="AD21" s="43">
        <f>IF(AND(OR(D21="1/2 Congé Synd.",D21="Congé Synd."),((G21-F21)+(I21-H21)+(K21-J21)=0)),VLOOKUP(D21,Systeemgegevens!$J:$K,2,FALSE),IF(AND(D21="1/2 Congé + 1/2 synd.",((G21-F21)+(I21-H21)+(K21-J21)=0)),AC21,0))</f>
        <v>0</v>
      </c>
      <c r="AE21" s="43">
        <f>IF(AND(D21="Jour de pont",((G21-F21)+(I21-H21)+(K21-J21)=0)),VLOOKUP(D21,Systeemgegevens!$J:$K,2,FALSE),0)</f>
        <v>0</v>
      </c>
      <c r="AF21" s="43">
        <f>IF(AND(D21="Jour libre 4/5",AND((G21-F21)+(I21-H21)+(K21-J21)=0)),VLOOKUP(D21,Systeemgegevens!$J:$K,2,FALSE),0)</f>
        <v>0</v>
      </c>
      <c r="AG21" s="118">
        <f>IF(AND(D21&lt;&gt;"",SUM(AB21:AF21)=0,D21&lt;&gt;$AB$4,D21&lt;&gt;$AC$4,D21&lt;&gt;$AE$4,D21&lt;&gt;$AF$4),VLOOKUP(D21,Systeemgegevens!$J:$K,2,FALSE),0)</f>
        <v>0</v>
      </c>
      <c r="AH21" s="119">
        <f t="shared" si="6"/>
        <v>0</v>
      </c>
      <c r="AI21" s="101">
        <f t="shared" si="7"/>
        <v>0</v>
      </c>
      <c r="AJ21" s="118">
        <f t="shared" si="19"/>
        <v>0</v>
      </c>
      <c r="AK21" s="119">
        <f t="shared" si="8"/>
        <v>0</v>
      </c>
      <c r="AL21" s="101">
        <f t="shared" si="9"/>
        <v>0</v>
      </c>
      <c r="AM21" s="43">
        <f t="shared" si="20"/>
        <v>0</v>
      </c>
      <c r="AN21" s="118">
        <f t="shared" si="21"/>
        <v>0</v>
      </c>
      <c r="AO21" s="122">
        <f t="shared" si="10"/>
        <v>0</v>
      </c>
      <c r="AP21" s="107">
        <f t="shared" si="11"/>
        <v>0</v>
      </c>
      <c r="AQ21" s="107">
        <f t="shared" si="12"/>
        <v>0</v>
      </c>
      <c r="AR21" s="123">
        <f t="shared" si="13"/>
        <v>0</v>
      </c>
      <c r="AS21" s="124">
        <f t="shared" si="14"/>
        <v>0</v>
      </c>
      <c r="AT21" s="124">
        <f t="shared" si="15"/>
        <v>0</v>
      </c>
      <c r="AU21" s="124">
        <f t="shared" si="16"/>
        <v>0</v>
      </c>
      <c r="AV21" s="117" t="s">
        <v>24</v>
      </c>
      <c r="AW21" s="129">
        <f>IF(($R$39=AV21)*AND($R$40&lt;&gt;""),VLOOKUP($R$40,'Barèmes police'!$AO$4:$AP$30,2),0)</f>
        <v>0</v>
      </c>
      <c r="AX21" s="16" t="str">
        <f>IF('Types de jours'!F27&lt;&gt;"",'Types de jours'!F27,"")</f>
        <v/>
      </c>
      <c r="AY21" s="144" t="str">
        <f>IF(AX21&lt;&gt;"",'Types de jours'!I27,"")</f>
        <v/>
      </c>
      <c r="AZ21" s="269"/>
      <c r="BA21" s="154"/>
      <c r="BB21" s="154"/>
      <c r="BC21" s="154"/>
      <c r="BD21" s="154"/>
      <c r="BE21" s="154"/>
      <c r="BF21" s="154"/>
    </row>
    <row r="22" spans="1:58" ht="12.75" customHeight="1" x14ac:dyDescent="0.2">
      <c r="A22" s="34"/>
      <c r="B22" s="24" t="str">
        <f t="shared" si="0"/>
        <v>Je</v>
      </c>
      <c r="C22" s="25">
        <f t="shared" si="22"/>
        <v>45337</v>
      </c>
      <c r="D22" s="51"/>
      <c r="E22" s="116"/>
      <c r="F22" s="52"/>
      <c r="G22" s="53"/>
      <c r="H22" s="52"/>
      <c r="I22" s="53"/>
      <c r="J22" s="54"/>
      <c r="K22" s="55"/>
      <c r="L22" s="40">
        <f t="shared" si="1"/>
        <v>0</v>
      </c>
      <c r="M22" s="41">
        <f t="shared" si="23"/>
        <v>0.31666666666666665</v>
      </c>
      <c r="N22" s="42">
        <f>IF(AND(D22&lt;&gt;"Jour libre 4/5",B22&lt;&gt;"Sa",B22&lt;&gt;"Di"),SUM(N21,Configuration!$H$41),SUM(N21))</f>
        <v>10.76666666666666</v>
      </c>
      <c r="O22" s="49" t="str">
        <f t="shared" si="24"/>
        <v>-</v>
      </c>
      <c r="P22" s="143">
        <f t="shared" si="17"/>
        <v>10.449999999999994</v>
      </c>
      <c r="Q22" s="167">
        <f t="shared" si="18"/>
        <v>0</v>
      </c>
      <c r="R22" s="168">
        <f t="shared" si="18"/>
        <v>0</v>
      </c>
      <c r="S22" s="168">
        <f t="shared" si="18"/>
        <v>0</v>
      </c>
      <c r="T22" s="169">
        <f t="shared" si="18"/>
        <v>0</v>
      </c>
      <c r="U22" s="97">
        <f t="shared" si="2"/>
        <v>0</v>
      </c>
      <c r="V22" s="97">
        <f t="shared" si="3"/>
        <v>0</v>
      </c>
      <c r="W22" s="97">
        <f t="shared" si="4"/>
        <v>0</v>
      </c>
      <c r="X22" s="97">
        <f t="shared" si="5"/>
        <v>0</v>
      </c>
      <c r="Y22" s="209"/>
      <c r="Z22" s="210"/>
      <c r="AA22" s="210"/>
      <c r="AB22" s="128">
        <f>IF(AND(D22="Jour férié semaine",((G22-F22)+(I22-H22)+(K22-J22)=0)),VLOOKUP(D22,Systeemgegevens!$J:$K,2,FALSE),0)</f>
        <v>0</v>
      </c>
      <c r="AC22" s="43">
        <f>IF(AND(NOT(ISERROR(FIND("Congé",D22))),ISERROR(FIND("1/2",D22)),ISERROR(FIND("Synd",D22)),ISERROR(FIND("synd",D22)),(G22-F22+I22-H22+K22-J22)=0),VLOOKUP(D22,Systeemgegevens!$J:$K,2,FALSE),IF(AND(NOT(ISERROR(FIND("1/2 Congé + ",D22))),(G22-F22+I22-H22+K22-J22)=0),VLOOKUP(D22,Systeemgegevens!$J:$K,2,FALSE)/2,IF(AND(NOT(ISERROR(FIND("1/2 Congé",D22))),ISERROR(FIND(" + ",D22)),ISERROR(FIND("1/2 Congé Synd.",D22))),VLOOKUP(D22,Systeemgegevens!$J:$K,2,FALSE),0)))</f>
        <v>0</v>
      </c>
      <c r="AD22" s="43">
        <f>IF(AND(OR(D22="1/2 Congé Synd.",D22="Congé Synd."),((G22-F22)+(I22-H22)+(K22-J22)=0)),VLOOKUP(D22,Systeemgegevens!$J:$K,2,FALSE),IF(AND(D22="1/2 Congé + 1/2 synd.",((G22-F22)+(I22-H22)+(K22-J22)=0)),AC22,0))</f>
        <v>0</v>
      </c>
      <c r="AE22" s="43">
        <f>IF(AND(D22="Jour de pont",((G22-F22)+(I22-H22)+(K22-J22)=0)),VLOOKUP(D22,Systeemgegevens!$J:$K,2,FALSE),0)</f>
        <v>0</v>
      </c>
      <c r="AF22" s="43">
        <f>IF(AND(D22="Jour libre 4/5",AND((G22-F22)+(I22-H22)+(K22-J22)=0)),VLOOKUP(D22,Systeemgegevens!$J:$K,2,FALSE),0)</f>
        <v>0</v>
      </c>
      <c r="AG22" s="118">
        <f>IF(AND(D22&lt;&gt;"",SUM(AB22:AF22)=0,D22&lt;&gt;$AB$4,D22&lt;&gt;$AC$4,D22&lt;&gt;$AE$4,D22&lt;&gt;$AF$4),VLOOKUP(D22,Systeemgegevens!$J:$K,2,FALSE),0)</f>
        <v>0</v>
      </c>
      <c r="AH22" s="119">
        <f t="shared" si="6"/>
        <v>0</v>
      </c>
      <c r="AI22" s="101">
        <f t="shared" si="7"/>
        <v>0</v>
      </c>
      <c r="AJ22" s="118">
        <f t="shared" si="19"/>
        <v>0</v>
      </c>
      <c r="AK22" s="119">
        <f t="shared" si="8"/>
        <v>0</v>
      </c>
      <c r="AL22" s="101">
        <f t="shared" si="9"/>
        <v>0</v>
      </c>
      <c r="AM22" s="43">
        <f t="shared" si="20"/>
        <v>0</v>
      </c>
      <c r="AN22" s="118">
        <f t="shared" si="21"/>
        <v>0</v>
      </c>
      <c r="AO22" s="122">
        <f t="shared" si="10"/>
        <v>0</v>
      </c>
      <c r="AP22" s="107">
        <f t="shared" si="11"/>
        <v>0</v>
      </c>
      <c r="AQ22" s="107">
        <f t="shared" si="12"/>
        <v>0</v>
      </c>
      <c r="AR22" s="123">
        <f t="shared" si="13"/>
        <v>0</v>
      </c>
      <c r="AS22" s="124">
        <f t="shared" si="14"/>
        <v>0</v>
      </c>
      <c r="AT22" s="124">
        <f t="shared" si="15"/>
        <v>0</v>
      </c>
      <c r="AU22" s="124">
        <f t="shared" si="16"/>
        <v>0</v>
      </c>
      <c r="AV22" s="117" t="s">
        <v>23</v>
      </c>
      <c r="AW22" s="129">
        <f>IF(($R$39=AV22)*AND($R$40&lt;&gt;""),VLOOKUP($R$40,'Barèmes police'!$AR$4:$AS$30,2),0)</f>
        <v>0</v>
      </c>
      <c r="AX22" s="16" t="str">
        <f>IF('Types de jours'!F28&lt;&gt;"",'Types de jours'!F28,"")</f>
        <v/>
      </c>
      <c r="AY22" s="144" t="str">
        <f>IF(AX22&lt;&gt;"",'Types de jours'!I28,"")</f>
        <v/>
      </c>
      <c r="AZ22" s="269"/>
      <c r="BA22" s="154"/>
      <c r="BB22" s="154"/>
      <c r="BC22" s="154"/>
      <c r="BD22" s="154"/>
      <c r="BE22" s="154"/>
      <c r="BF22" s="154"/>
    </row>
    <row r="23" spans="1:58" ht="12.75" customHeight="1" x14ac:dyDescent="0.2">
      <c r="A23" s="34"/>
      <c r="B23" s="24" t="str">
        <f t="shared" si="0"/>
        <v>Ve</v>
      </c>
      <c r="C23" s="25">
        <f t="shared" si="22"/>
        <v>45338</v>
      </c>
      <c r="D23" s="51"/>
      <c r="E23" s="116"/>
      <c r="F23" s="52"/>
      <c r="G23" s="53"/>
      <c r="H23" s="52"/>
      <c r="I23" s="53"/>
      <c r="J23" s="54"/>
      <c r="K23" s="55"/>
      <c r="L23" s="40">
        <f t="shared" si="1"/>
        <v>0</v>
      </c>
      <c r="M23" s="41">
        <f t="shared" si="23"/>
        <v>0.31666666666666665</v>
      </c>
      <c r="N23" s="42">
        <f>IF(AND(D23&lt;&gt;"Jour libre 4/5",B23&lt;&gt;"Sa",B23&lt;&gt;"Di"),SUM(N22,Configuration!$H$41),SUM(N22))</f>
        <v>11.083333333333327</v>
      </c>
      <c r="O23" s="49" t="str">
        <f t="shared" si="24"/>
        <v>-</v>
      </c>
      <c r="P23" s="143">
        <f t="shared" si="17"/>
        <v>10.76666666666666</v>
      </c>
      <c r="Q23" s="167">
        <f t="shared" si="18"/>
        <v>0</v>
      </c>
      <c r="R23" s="168">
        <f t="shared" si="18"/>
        <v>0</v>
      </c>
      <c r="S23" s="168">
        <f t="shared" si="18"/>
        <v>0</v>
      </c>
      <c r="T23" s="169">
        <f t="shared" si="18"/>
        <v>0</v>
      </c>
      <c r="U23" s="97">
        <f t="shared" si="2"/>
        <v>0</v>
      </c>
      <c r="V23" s="97">
        <f t="shared" si="3"/>
        <v>0</v>
      </c>
      <c r="W23" s="97">
        <f t="shared" si="4"/>
        <v>0</v>
      </c>
      <c r="X23" s="97">
        <f t="shared" si="5"/>
        <v>0</v>
      </c>
      <c r="Y23" s="209"/>
      <c r="Z23" s="210"/>
      <c r="AA23" s="210"/>
      <c r="AB23" s="128">
        <f>IF(AND(D23="Jour férié semaine",((G23-F23)+(I23-H23)+(K23-J23)=0)),VLOOKUP(D23,Systeemgegevens!$J:$K,2,FALSE),0)</f>
        <v>0</v>
      </c>
      <c r="AC23" s="43">
        <f>IF(AND(NOT(ISERROR(FIND("Congé",D23))),ISERROR(FIND("1/2",D23)),ISERROR(FIND("Synd",D23)),ISERROR(FIND("synd",D23)),(G23-F23+I23-H23+K23-J23)=0),VLOOKUP(D23,Systeemgegevens!$J:$K,2,FALSE),IF(AND(NOT(ISERROR(FIND("1/2 Congé + ",D23))),(G23-F23+I23-H23+K23-J23)=0),VLOOKUP(D23,Systeemgegevens!$J:$K,2,FALSE)/2,IF(AND(NOT(ISERROR(FIND("1/2 Congé",D23))),ISERROR(FIND(" + ",D23)),ISERROR(FIND("1/2 Congé Synd.",D23))),VLOOKUP(D23,Systeemgegevens!$J:$K,2,FALSE),0)))</f>
        <v>0</v>
      </c>
      <c r="AD23" s="43">
        <f>IF(AND(OR(D23="1/2 Congé Synd.",D23="Congé Synd."),((G23-F23)+(I23-H23)+(K23-J23)=0)),VLOOKUP(D23,Systeemgegevens!$J:$K,2,FALSE),IF(AND(D23="1/2 Congé + 1/2 synd.",((G23-F23)+(I23-H23)+(K23-J23)=0)),AC23,0))</f>
        <v>0</v>
      </c>
      <c r="AE23" s="43">
        <f>IF(AND(D23="Jour de pont",((G23-F23)+(I23-H23)+(K23-J23)=0)),VLOOKUP(D23,Systeemgegevens!$J:$K,2,FALSE),0)</f>
        <v>0</v>
      </c>
      <c r="AF23" s="43">
        <f>IF(AND(D23="Jour libre 4/5",AND((G23-F23)+(I23-H23)+(K23-J23)=0)),VLOOKUP(D23,Systeemgegevens!$J:$K,2,FALSE),0)</f>
        <v>0</v>
      </c>
      <c r="AG23" s="118">
        <f>IF(AND(D23&lt;&gt;"",SUM(AB23:AF23)=0,D23&lt;&gt;$AB$4,D23&lt;&gt;$AC$4,D23&lt;&gt;$AE$4,D23&lt;&gt;$AF$4),VLOOKUP(D23,Systeemgegevens!$J:$K,2,FALSE),0)</f>
        <v>0</v>
      </c>
      <c r="AH23" s="119">
        <f t="shared" si="6"/>
        <v>0</v>
      </c>
      <c r="AI23" s="101">
        <f t="shared" si="7"/>
        <v>0</v>
      </c>
      <c r="AJ23" s="118">
        <f t="shared" si="19"/>
        <v>0</v>
      </c>
      <c r="AK23" s="119">
        <f t="shared" si="8"/>
        <v>0</v>
      </c>
      <c r="AL23" s="101">
        <f t="shared" si="9"/>
        <v>0</v>
      </c>
      <c r="AM23" s="43">
        <f t="shared" si="20"/>
        <v>0</v>
      </c>
      <c r="AN23" s="118">
        <f t="shared" si="21"/>
        <v>0</v>
      </c>
      <c r="AO23" s="122">
        <f t="shared" si="10"/>
        <v>0</v>
      </c>
      <c r="AP23" s="107">
        <f t="shared" si="11"/>
        <v>0</v>
      </c>
      <c r="AQ23" s="107">
        <f t="shared" si="12"/>
        <v>0</v>
      </c>
      <c r="AR23" s="123">
        <f t="shared" si="13"/>
        <v>0</v>
      </c>
      <c r="AS23" s="124">
        <f t="shared" si="14"/>
        <v>0</v>
      </c>
      <c r="AT23" s="124">
        <f t="shared" si="15"/>
        <v>0</v>
      </c>
      <c r="AU23" s="124">
        <f t="shared" si="16"/>
        <v>0</v>
      </c>
      <c r="AV23" s="117" t="s">
        <v>22</v>
      </c>
      <c r="AW23" s="129">
        <f>IF(($R$39=AV23)*AND($R$40&lt;&gt;""),VLOOKUP($R$40,'Barèmes police'!$AU$4:$AV$34,2),0)</f>
        <v>0</v>
      </c>
      <c r="AX23" s="16" t="str">
        <f>IF('Types de jours'!F29&lt;&gt;"",'Types de jours'!F29,"")</f>
        <v/>
      </c>
      <c r="AY23" s="144" t="str">
        <f>IF(AX23&lt;&gt;"",'Types de jours'!I29,"")</f>
        <v/>
      </c>
      <c r="AZ23" s="269"/>
      <c r="BA23" s="154"/>
      <c r="BB23" s="154"/>
      <c r="BC23" s="154"/>
      <c r="BD23" s="154"/>
      <c r="BE23" s="154"/>
      <c r="BF23" s="154"/>
    </row>
    <row r="24" spans="1:58" ht="12.75" customHeight="1" x14ac:dyDescent="0.2">
      <c r="A24" s="34"/>
      <c r="B24" s="24" t="str">
        <f t="shared" si="0"/>
        <v>Sa</v>
      </c>
      <c r="C24" s="25">
        <f t="shared" si="22"/>
        <v>45339</v>
      </c>
      <c r="D24" s="51"/>
      <c r="E24" s="116"/>
      <c r="F24" s="52"/>
      <c r="G24" s="53"/>
      <c r="H24" s="52"/>
      <c r="I24" s="53"/>
      <c r="J24" s="54"/>
      <c r="K24" s="55"/>
      <c r="L24" s="40">
        <f t="shared" si="1"/>
        <v>0</v>
      </c>
      <c r="M24" s="41">
        <f t="shared" si="23"/>
        <v>0.31666666666666665</v>
      </c>
      <c r="N24" s="42">
        <f>IF(AND(D24&lt;&gt;"Jour libre 4/5",B24&lt;&gt;"Sa",B24&lt;&gt;"Di"),SUM(N23,Configuration!$H$41),SUM(N23))</f>
        <v>11.083333333333327</v>
      </c>
      <c r="O24" s="49" t="str">
        <f t="shared" si="24"/>
        <v>-</v>
      </c>
      <c r="P24" s="143">
        <f t="shared" si="17"/>
        <v>10.76666666666666</v>
      </c>
      <c r="Q24" s="167">
        <f t="shared" si="18"/>
        <v>0</v>
      </c>
      <c r="R24" s="168">
        <f t="shared" si="18"/>
        <v>0</v>
      </c>
      <c r="S24" s="168">
        <f t="shared" si="18"/>
        <v>0</v>
      </c>
      <c r="T24" s="169">
        <f t="shared" si="18"/>
        <v>0</v>
      </c>
      <c r="U24" s="97">
        <f t="shared" si="2"/>
        <v>0</v>
      </c>
      <c r="V24" s="97">
        <f t="shared" si="3"/>
        <v>0</v>
      </c>
      <c r="W24" s="97">
        <f t="shared" si="4"/>
        <v>0</v>
      </c>
      <c r="X24" s="97">
        <f t="shared" si="5"/>
        <v>0</v>
      </c>
      <c r="Y24" s="209"/>
      <c r="Z24" s="210"/>
      <c r="AA24" s="210"/>
      <c r="AB24" s="128">
        <f>IF(AND(D24="Jour férié semaine",((G24-F24)+(I24-H24)+(K24-J24)=0)),VLOOKUP(D24,Systeemgegevens!$J:$K,2,FALSE),0)</f>
        <v>0</v>
      </c>
      <c r="AC24" s="43">
        <f>IF(AND(NOT(ISERROR(FIND("Congé",D24))),ISERROR(FIND("1/2",D24)),ISERROR(FIND("Synd",D24)),ISERROR(FIND("synd",D24)),(G24-F24+I24-H24+K24-J24)=0),VLOOKUP(D24,Systeemgegevens!$J:$K,2,FALSE),IF(AND(NOT(ISERROR(FIND("1/2 Congé + ",D24))),(G24-F24+I24-H24+K24-J24)=0),VLOOKUP(D24,Systeemgegevens!$J:$K,2,FALSE)/2,IF(AND(NOT(ISERROR(FIND("1/2 Congé",D24))),ISERROR(FIND(" + ",D24)),ISERROR(FIND("1/2 Congé Synd.",D24))),VLOOKUP(D24,Systeemgegevens!$J:$K,2,FALSE),0)))</f>
        <v>0</v>
      </c>
      <c r="AD24" s="43">
        <f>IF(AND(OR(D24="1/2 Congé Synd.",D24="Congé Synd."),((G24-F24)+(I24-H24)+(K24-J24)=0)),VLOOKUP(D24,Systeemgegevens!$J:$K,2,FALSE),IF(AND(D24="1/2 Congé + 1/2 synd.",((G24-F24)+(I24-H24)+(K24-J24)=0)),AC24,0))</f>
        <v>0</v>
      </c>
      <c r="AE24" s="43">
        <f>IF(AND(D24="Jour de pont",((G24-F24)+(I24-H24)+(K24-J24)=0)),VLOOKUP(D24,Systeemgegevens!$J:$K,2,FALSE),0)</f>
        <v>0</v>
      </c>
      <c r="AF24" s="43">
        <f>IF(AND(D24="Jour libre 4/5",AND((G24-F24)+(I24-H24)+(K24-J24)=0)),VLOOKUP(D24,Systeemgegevens!$J:$K,2,FALSE),0)</f>
        <v>0</v>
      </c>
      <c r="AG24" s="118">
        <f>IF(AND(D24&lt;&gt;"",SUM(AB24:AF24)=0,D24&lt;&gt;$AB$4,D24&lt;&gt;$AC$4,D24&lt;&gt;$AE$4,D24&lt;&gt;$AF$4),VLOOKUP(D24,Systeemgegevens!$J:$K,2,FALSE),0)</f>
        <v>0</v>
      </c>
      <c r="AH24" s="119">
        <f t="shared" si="6"/>
        <v>0</v>
      </c>
      <c r="AI24" s="101">
        <f t="shared" si="7"/>
        <v>0</v>
      </c>
      <c r="AJ24" s="118">
        <f t="shared" si="19"/>
        <v>0</v>
      </c>
      <c r="AK24" s="119">
        <f t="shared" si="8"/>
        <v>0</v>
      </c>
      <c r="AL24" s="101">
        <f t="shared" si="9"/>
        <v>0</v>
      </c>
      <c r="AM24" s="43">
        <f t="shared" si="20"/>
        <v>0</v>
      </c>
      <c r="AN24" s="118">
        <f t="shared" si="21"/>
        <v>0</v>
      </c>
      <c r="AO24" s="122">
        <f t="shared" si="10"/>
        <v>0</v>
      </c>
      <c r="AP24" s="107">
        <f t="shared" si="11"/>
        <v>0</v>
      </c>
      <c r="AQ24" s="107">
        <f t="shared" si="12"/>
        <v>0</v>
      </c>
      <c r="AR24" s="123">
        <f t="shared" si="13"/>
        <v>0</v>
      </c>
      <c r="AS24" s="124">
        <f t="shared" si="14"/>
        <v>0</v>
      </c>
      <c r="AT24" s="124">
        <f t="shared" si="15"/>
        <v>0</v>
      </c>
      <c r="AU24" s="124">
        <f t="shared" si="16"/>
        <v>0</v>
      </c>
      <c r="AV24" s="117" t="s">
        <v>21</v>
      </c>
      <c r="AW24" s="129">
        <f>IF(($R$39=AV24)*AND($R$40&lt;&gt;""),VLOOKUP($R$40,'Barèmes police'!$AX$4:$AY$30,2),0)</f>
        <v>0</v>
      </c>
      <c r="AX24" s="16" t="str">
        <f>IF('Types de jours'!F30&lt;&gt;"",'Types de jours'!F30,"")</f>
        <v/>
      </c>
      <c r="AY24" s="144" t="str">
        <f>IF(AX24&lt;&gt;"",'Types de jours'!I30,"")</f>
        <v/>
      </c>
      <c r="AZ24" s="269"/>
      <c r="BA24" s="154"/>
      <c r="BB24" s="154"/>
      <c r="BC24" s="154"/>
      <c r="BD24" s="154"/>
      <c r="BE24" s="154"/>
      <c r="BF24" s="154"/>
    </row>
    <row r="25" spans="1:58" ht="12.75" customHeight="1" x14ac:dyDescent="0.2">
      <c r="A25" s="34"/>
      <c r="B25" s="24" t="str">
        <f t="shared" si="0"/>
        <v>Di</v>
      </c>
      <c r="C25" s="25">
        <f t="shared" si="22"/>
        <v>45340</v>
      </c>
      <c r="D25" s="51"/>
      <c r="E25" s="116"/>
      <c r="F25" s="52"/>
      <c r="G25" s="53"/>
      <c r="H25" s="52"/>
      <c r="I25" s="53"/>
      <c r="J25" s="54"/>
      <c r="K25" s="55"/>
      <c r="L25" s="40">
        <f t="shared" si="1"/>
        <v>0</v>
      </c>
      <c r="M25" s="41">
        <f t="shared" si="23"/>
        <v>0.31666666666666665</v>
      </c>
      <c r="N25" s="42">
        <f>IF(AND(D25&lt;&gt;"Jour libre 4/5",B25&lt;&gt;"Sa",B25&lt;&gt;"Di"),SUM(N24,Configuration!$H$41),SUM(N24))</f>
        <v>11.083333333333327</v>
      </c>
      <c r="O25" s="49" t="str">
        <f t="shared" si="24"/>
        <v>-</v>
      </c>
      <c r="P25" s="143">
        <f t="shared" si="17"/>
        <v>10.76666666666666</v>
      </c>
      <c r="Q25" s="167">
        <f t="shared" si="18"/>
        <v>0</v>
      </c>
      <c r="R25" s="168">
        <f t="shared" si="18"/>
        <v>0</v>
      </c>
      <c r="S25" s="168">
        <f t="shared" si="18"/>
        <v>0</v>
      </c>
      <c r="T25" s="169">
        <f t="shared" si="18"/>
        <v>0</v>
      </c>
      <c r="U25" s="97">
        <f t="shared" si="2"/>
        <v>0</v>
      </c>
      <c r="V25" s="97">
        <f t="shared" si="3"/>
        <v>0</v>
      </c>
      <c r="W25" s="97">
        <f t="shared" si="4"/>
        <v>0</v>
      </c>
      <c r="X25" s="97">
        <f t="shared" si="5"/>
        <v>0</v>
      </c>
      <c r="Y25" s="209"/>
      <c r="Z25" s="210"/>
      <c r="AA25" s="210"/>
      <c r="AB25" s="128">
        <f>IF(AND(D25="Jour férié semaine",((G25-F25)+(I25-H25)+(K25-J25)=0)),VLOOKUP(D25,Systeemgegevens!$J:$K,2,FALSE),0)</f>
        <v>0</v>
      </c>
      <c r="AC25" s="43">
        <f>IF(AND(NOT(ISERROR(FIND("Congé",D25))),ISERROR(FIND("1/2",D25)),ISERROR(FIND("Synd",D25)),ISERROR(FIND("synd",D25)),(G25-F25+I25-H25+K25-J25)=0),VLOOKUP(D25,Systeemgegevens!$J:$K,2,FALSE),IF(AND(NOT(ISERROR(FIND("1/2 Congé + ",D25))),(G25-F25+I25-H25+K25-J25)=0),VLOOKUP(D25,Systeemgegevens!$J:$K,2,FALSE)/2,IF(AND(NOT(ISERROR(FIND("1/2 Congé",D25))),ISERROR(FIND(" + ",D25)),ISERROR(FIND("1/2 Congé Synd.",D25))),VLOOKUP(D25,Systeemgegevens!$J:$K,2,FALSE),0)))</f>
        <v>0</v>
      </c>
      <c r="AD25" s="43">
        <f>IF(AND(OR(D25="1/2 Congé Synd.",D25="Congé Synd."),((G25-F25)+(I25-H25)+(K25-J25)=0)),VLOOKUP(D25,Systeemgegevens!$J:$K,2,FALSE),IF(AND(D25="1/2 Congé + 1/2 synd.",((G25-F25)+(I25-H25)+(K25-J25)=0)),AC25,0))</f>
        <v>0</v>
      </c>
      <c r="AE25" s="43">
        <f>IF(AND(D25="Jour de pont",((G25-F25)+(I25-H25)+(K25-J25)=0)),VLOOKUP(D25,Systeemgegevens!$J:$K,2,FALSE),0)</f>
        <v>0</v>
      </c>
      <c r="AF25" s="43">
        <f>IF(AND(D25="Jour libre 4/5",AND((G25-F25)+(I25-H25)+(K25-J25)=0)),VLOOKUP(D25,Systeemgegevens!$J:$K,2,FALSE),0)</f>
        <v>0</v>
      </c>
      <c r="AG25" s="118">
        <f>IF(AND(D25&lt;&gt;"",SUM(AB25:AF25)=0,D25&lt;&gt;$AB$4,D25&lt;&gt;$AC$4,D25&lt;&gt;$AE$4,D25&lt;&gt;$AF$4),VLOOKUP(D25,Systeemgegevens!$J:$K,2,FALSE),0)</f>
        <v>0</v>
      </c>
      <c r="AH25" s="119">
        <f t="shared" si="6"/>
        <v>0</v>
      </c>
      <c r="AI25" s="101">
        <f t="shared" si="7"/>
        <v>0</v>
      </c>
      <c r="AJ25" s="118">
        <f t="shared" si="19"/>
        <v>0</v>
      </c>
      <c r="AK25" s="119">
        <f t="shared" si="8"/>
        <v>0</v>
      </c>
      <c r="AL25" s="101">
        <f t="shared" si="9"/>
        <v>0</v>
      </c>
      <c r="AM25" s="43">
        <f t="shared" si="20"/>
        <v>0</v>
      </c>
      <c r="AN25" s="118">
        <f t="shared" si="21"/>
        <v>0</v>
      </c>
      <c r="AO25" s="122">
        <f t="shared" si="10"/>
        <v>0</v>
      </c>
      <c r="AP25" s="107">
        <f t="shared" si="11"/>
        <v>0</v>
      </c>
      <c r="AQ25" s="107">
        <f t="shared" si="12"/>
        <v>0</v>
      </c>
      <c r="AR25" s="123">
        <f t="shared" si="13"/>
        <v>0</v>
      </c>
      <c r="AS25" s="124">
        <f t="shared" si="14"/>
        <v>0</v>
      </c>
      <c r="AT25" s="124">
        <f t="shared" si="15"/>
        <v>0</v>
      </c>
      <c r="AU25" s="124">
        <f t="shared" si="16"/>
        <v>0</v>
      </c>
      <c r="AV25" s="117" t="s">
        <v>20</v>
      </c>
      <c r="AW25" s="129">
        <f>IF(($R$39=AV25)*AND($R$40&lt;&gt;""),VLOOKUP($R$40,'Barèmes police'!$BA$4:$BB$34,2),0)</f>
        <v>0</v>
      </c>
      <c r="AX25" s="16" t="str">
        <f>IF('Types de jours'!F31&lt;&gt;"",'Types de jours'!F31,"")</f>
        <v/>
      </c>
      <c r="AY25" s="144" t="str">
        <f>IF(AX25&lt;&gt;"",'Types de jours'!I31,"")</f>
        <v/>
      </c>
      <c r="AZ25" s="269"/>
      <c r="BA25" s="154"/>
      <c r="BB25" s="154"/>
      <c r="BC25" s="154"/>
      <c r="BD25" s="154"/>
      <c r="BE25" s="154"/>
      <c r="BF25" s="154"/>
    </row>
    <row r="26" spans="1:58" ht="12.75" customHeight="1" x14ac:dyDescent="0.2">
      <c r="A26" s="34"/>
      <c r="B26" s="24" t="str">
        <f t="shared" si="0"/>
        <v>Lu</v>
      </c>
      <c r="C26" s="25">
        <f t="shared" si="22"/>
        <v>45341</v>
      </c>
      <c r="D26" s="51"/>
      <c r="E26" s="116"/>
      <c r="F26" s="52"/>
      <c r="G26" s="53"/>
      <c r="H26" s="54"/>
      <c r="I26" s="55"/>
      <c r="J26" s="54"/>
      <c r="K26" s="55"/>
      <c r="L26" s="40">
        <f t="shared" si="1"/>
        <v>0</v>
      </c>
      <c r="M26" s="41">
        <f t="shared" si="23"/>
        <v>0.31666666666666665</v>
      </c>
      <c r="N26" s="42">
        <f>IF(AND(D26&lt;&gt;"Jour libre 4/5",B26&lt;&gt;"Sa",B26&lt;&gt;"Di"),SUM(N25,Configuration!$H$41),SUM(N25))</f>
        <v>11.399999999999993</v>
      </c>
      <c r="O26" s="49" t="str">
        <f t="shared" si="24"/>
        <v>-</v>
      </c>
      <c r="P26" s="143">
        <f t="shared" si="17"/>
        <v>11.083333333333327</v>
      </c>
      <c r="Q26" s="167">
        <f t="shared" si="18"/>
        <v>0</v>
      </c>
      <c r="R26" s="168">
        <f t="shared" si="18"/>
        <v>0</v>
      </c>
      <c r="S26" s="168">
        <f t="shared" si="18"/>
        <v>0</v>
      </c>
      <c r="T26" s="169">
        <f t="shared" si="18"/>
        <v>0</v>
      </c>
      <c r="U26" s="97">
        <f t="shared" si="2"/>
        <v>0</v>
      </c>
      <c r="V26" s="97">
        <f t="shared" si="3"/>
        <v>0</v>
      </c>
      <c r="W26" s="97">
        <f t="shared" si="4"/>
        <v>0</v>
      </c>
      <c r="X26" s="97">
        <f t="shared" si="5"/>
        <v>0</v>
      </c>
      <c r="Y26" s="209"/>
      <c r="Z26" s="210"/>
      <c r="AA26" s="210"/>
      <c r="AB26" s="128">
        <f>IF(AND(D26="Jour férié semaine",((G26-F26)+(I26-H26)+(K26-J26)=0)),VLOOKUP(D26,Systeemgegevens!$J:$K,2,FALSE),0)</f>
        <v>0</v>
      </c>
      <c r="AC26" s="43">
        <f>IF(AND(NOT(ISERROR(FIND("Congé",D26))),ISERROR(FIND("1/2",D26)),ISERROR(FIND("Synd",D26)),ISERROR(FIND("synd",D26)),(G26-F26+I26-H26+K26-J26)=0),VLOOKUP(D26,Systeemgegevens!$J:$K,2,FALSE),IF(AND(NOT(ISERROR(FIND("1/2 Congé + ",D26))),(G26-F26+I26-H26+K26-J26)=0),VLOOKUP(D26,Systeemgegevens!$J:$K,2,FALSE)/2,IF(AND(NOT(ISERROR(FIND("1/2 Congé",D26))),ISERROR(FIND(" + ",D26)),ISERROR(FIND("1/2 Congé Synd.",D26))),VLOOKUP(D26,Systeemgegevens!$J:$K,2,FALSE),0)))</f>
        <v>0</v>
      </c>
      <c r="AD26" s="43">
        <f>IF(AND(OR(D26="1/2 Congé Synd.",D26="Congé Synd."),((G26-F26)+(I26-H26)+(K26-J26)=0)),VLOOKUP(D26,Systeemgegevens!$J:$K,2,FALSE),IF(AND(D26="1/2 Congé + 1/2 synd.",((G26-F26)+(I26-H26)+(K26-J26)=0)),AC26,0))</f>
        <v>0</v>
      </c>
      <c r="AE26" s="43">
        <f>IF(AND(D26="Jour de pont",((G26-F26)+(I26-H26)+(K26-J26)=0)),VLOOKUP(D26,Systeemgegevens!$J:$K,2,FALSE),0)</f>
        <v>0</v>
      </c>
      <c r="AF26" s="43">
        <f>IF(AND(D26="Jour libre 4/5",AND((G26-F26)+(I26-H26)+(K26-J26)=0)),VLOOKUP(D26,Systeemgegevens!$J:$K,2,FALSE),0)</f>
        <v>0</v>
      </c>
      <c r="AG26" s="118">
        <f>IF(AND(D26&lt;&gt;"",SUM(AB26:AF26)=0,D26&lt;&gt;$AB$4,D26&lt;&gt;$AC$4,D26&lt;&gt;$AE$4,D26&lt;&gt;$AF$4),VLOOKUP(D26,Systeemgegevens!$J:$K,2,FALSE),0)</f>
        <v>0</v>
      </c>
      <c r="AH26" s="119">
        <f t="shared" si="6"/>
        <v>0</v>
      </c>
      <c r="AI26" s="101">
        <f t="shared" si="7"/>
        <v>0</v>
      </c>
      <c r="AJ26" s="118">
        <f t="shared" si="19"/>
        <v>0</v>
      </c>
      <c r="AK26" s="119">
        <f t="shared" si="8"/>
        <v>0</v>
      </c>
      <c r="AL26" s="101">
        <f t="shared" si="9"/>
        <v>0</v>
      </c>
      <c r="AM26" s="43">
        <f t="shared" si="20"/>
        <v>0</v>
      </c>
      <c r="AN26" s="118">
        <f t="shared" si="21"/>
        <v>0</v>
      </c>
      <c r="AO26" s="122">
        <f t="shared" si="10"/>
        <v>0</v>
      </c>
      <c r="AP26" s="107">
        <f t="shared" si="11"/>
        <v>0</v>
      </c>
      <c r="AQ26" s="107">
        <f t="shared" si="12"/>
        <v>0</v>
      </c>
      <c r="AR26" s="123">
        <f t="shared" si="13"/>
        <v>0</v>
      </c>
      <c r="AS26" s="124">
        <f t="shared" si="14"/>
        <v>0</v>
      </c>
      <c r="AT26" s="124">
        <f t="shared" si="15"/>
        <v>0</v>
      </c>
      <c r="AU26" s="124">
        <f t="shared" si="16"/>
        <v>0</v>
      </c>
      <c r="AV26" s="117" t="s">
        <v>19</v>
      </c>
      <c r="AW26" s="129">
        <f>IF(($R$39=AV26)*AND($R$40&lt;&gt;""),VLOOKUP($R$40,'Barèmes police'!$BD$4:$BE$30,2),0)</f>
        <v>0</v>
      </c>
      <c r="AX26" s="16" t="str">
        <f>IF('Types de jours'!F32&lt;&gt;"",'Types de jours'!F32,"")</f>
        <v/>
      </c>
      <c r="AY26" s="144" t="str">
        <f>IF(AX26&lt;&gt;"",'Types de jours'!I32,"")</f>
        <v/>
      </c>
      <c r="AZ26" s="269"/>
      <c r="BA26" s="154"/>
      <c r="BB26" s="154"/>
      <c r="BC26" s="154"/>
      <c r="BD26" s="154"/>
      <c r="BE26" s="154"/>
      <c r="BF26" s="154"/>
    </row>
    <row r="27" spans="1:58" ht="12.75" customHeight="1" x14ac:dyDescent="0.2">
      <c r="A27" s="34"/>
      <c r="B27" s="24" t="str">
        <f t="shared" si="0"/>
        <v>Ma</v>
      </c>
      <c r="C27" s="25">
        <f t="shared" si="22"/>
        <v>45342</v>
      </c>
      <c r="D27" s="51"/>
      <c r="E27" s="116"/>
      <c r="F27" s="52"/>
      <c r="G27" s="53"/>
      <c r="H27" s="54"/>
      <c r="I27" s="55"/>
      <c r="J27" s="54"/>
      <c r="K27" s="55"/>
      <c r="L27" s="40">
        <f t="shared" si="1"/>
        <v>0</v>
      </c>
      <c r="M27" s="41">
        <f t="shared" si="23"/>
        <v>0.31666666666666665</v>
      </c>
      <c r="N27" s="42">
        <f>IF(AND(D27&lt;&gt;"Jour libre 4/5",B27&lt;&gt;"Sa",B27&lt;&gt;"Di"),SUM(N26,Configuration!$H$41),SUM(N26))</f>
        <v>11.71666666666666</v>
      </c>
      <c r="O27" s="49" t="str">
        <f t="shared" si="24"/>
        <v>-</v>
      </c>
      <c r="P27" s="143">
        <f t="shared" si="17"/>
        <v>11.399999999999993</v>
      </c>
      <c r="Q27" s="167">
        <f t="shared" si="18"/>
        <v>0</v>
      </c>
      <c r="R27" s="168">
        <f t="shared" si="18"/>
        <v>0</v>
      </c>
      <c r="S27" s="168">
        <f t="shared" si="18"/>
        <v>0</v>
      </c>
      <c r="T27" s="169">
        <f t="shared" si="18"/>
        <v>0</v>
      </c>
      <c r="U27" s="97">
        <f t="shared" si="2"/>
        <v>0</v>
      </c>
      <c r="V27" s="97">
        <f t="shared" si="3"/>
        <v>0</v>
      </c>
      <c r="W27" s="97">
        <f t="shared" si="4"/>
        <v>0</v>
      </c>
      <c r="X27" s="97">
        <f t="shared" si="5"/>
        <v>0</v>
      </c>
      <c r="Y27" s="209"/>
      <c r="Z27" s="210"/>
      <c r="AA27" s="210"/>
      <c r="AB27" s="128">
        <f>IF(AND(D27="Jour férié semaine",((G27-F27)+(I27-H27)+(K27-J27)=0)),VLOOKUP(D27,Systeemgegevens!$J:$K,2,FALSE),0)</f>
        <v>0</v>
      </c>
      <c r="AC27" s="43">
        <f>IF(AND(NOT(ISERROR(FIND("Congé",D27))),ISERROR(FIND("1/2",D27)),ISERROR(FIND("Synd",D27)),ISERROR(FIND("synd",D27)),(G27-F27+I27-H27+K27-J27)=0),VLOOKUP(D27,Systeemgegevens!$J:$K,2,FALSE),IF(AND(NOT(ISERROR(FIND("1/2 Congé + ",D27))),(G27-F27+I27-H27+K27-J27)=0),VLOOKUP(D27,Systeemgegevens!$J:$K,2,FALSE)/2,IF(AND(NOT(ISERROR(FIND("1/2 Congé",D27))),ISERROR(FIND(" + ",D27)),ISERROR(FIND("1/2 Congé Synd.",D27))),VLOOKUP(D27,Systeemgegevens!$J:$K,2,FALSE),0)))</f>
        <v>0</v>
      </c>
      <c r="AD27" s="43">
        <f>IF(AND(OR(D27="1/2 Congé Synd.",D27="Congé Synd."),((G27-F27)+(I27-H27)+(K27-J27)=0)),VLOOKUP(D27,Systeemgegevens!$J:$K,2,FALSE),IF(AND(D27="1/2 Congé + 1/2 synd.",((G27-F27)+(I27-H27)+(K27-J27)=0)),AC27,0))</f>
        <v>0</v>
      </c>
      <c r="AE27" s="43">
        <f>IF(AND(D27="Jour de pont",((G27-F27)+(I27-H27)+(K27-J27)=0)),VLOOKUP(D27,Systeemgegevens!$J:$K,2,FALSE),0)</f>
        <v>0</v>
      </c>
      <c r="AF27" s="43">
        <f>IF(AND(D27="Jour libre 4/5",AND((G27-F27)+(I27-H27)+(K27-J27)=0)),VLOOKUP(D27,Systeemgegevens!$J:$K,2,FALSE),0)</f>
        <v>0</v>
      </c>
      <c r="AG27" s="118">
        <f>IF(AND(D27&lt;&gt;"",SUM(AB27:AF27)=0,D27&lt;&gt;$AB$4,D27&lt;&gt;$AC$4,D27&lt;&gt;$AE$4,D27&lt;&gt;$AF$4),VLOOKUP(D27,Systeemgegevens!$J:$K,2,FALSE),0)</f>
        <v>0</v>
      </c>
      <c r="AH27" s="119">
        <f t="shared" si="6"/>
        <v>0</v>
      </c>
      <c r="AI27" s="101">
        <f t="shared" si="7"/>
        <v>0</v>
      </c>
      <c r="AJ27" s="118">
        <f t="shared" si="19"/>
        <v>0</v>
      </c>
      <c r="AK27" s="119">
        <f t="shared" si="8"/>
        <v>0</v>
      </c>
      <c r="AL27" s="101">
        <f t="shared" si="9"/>
        <v>0</v>
      </c>
      <c r="AM27" s="43">
        <f t="shared" si="20"/>
        <v>0</v>
      </c>
      <c r="AN27" s="118">
        <f t="shared" si="21"/>
        <v>0</v>
      </c>
      <c r="AO27" s="122">
        <f t="shared" si="10"/>
        <v>0</v>
      </c>
      <c r="AP27" s="107">
        <f t="shared" si="11"/>
        <v>0</v>
      </c>
      <c r="AQ27" s="107">
        <f t="shared" si="12"/>
        <v>0</v>
      </c>
      <c r="AR27" s="123">
        <f t="shared" si="13"/>
        <v>0</v>
      </c>
      <c r="AS27" s="124">
        <f t="shared" si="14"/>
        <v>0</v>
      </c>
      <c r="AT27" s="124">
        <f t="shared" si="15"/>
        <v>0</v>
      </c>
      <c r="AU27" s="124">
        <f t="shared" si="16"/>
        <v>0</v>
      </c>
      <c r="AV27" s="117" t="s">
        <v>18</v>
      </c>
      <c r="AW27" s="129">
        <f>IF(($R$39=AV27)*AND($R$40&lt;&gt;""),VLOOKUP($R$40,'Barèmes police'!$BG$4:$BH$30,2),0)</f>
        <v>0</v>
      </c>
      <c r="AX27" s="16" t="str">
        <f>IF('Types de jours'!F33&lt;&gt;"",'Types de jours'!F33,"")</f>
        <v/>
      </c>
      <c r="AY27" s="144" t="str">
        <f>IF(AX27&lt;&gt;"",'Types de jours'!I33,"")</f>
        <v/>
      </c>
      <c r="AZ27" s="269"/>
      <c r="BA27" s="154"/>
      <c r="BB27" s="154"/>
      <c r="BC27" s="154"/>
      <c r="BD27" s="154"/>
      <c r="BE27" s="154"/>
      <c r="BF27" s="154"/>
    </row>
    <row r="28" spans="1:58" ht="12.75" customHeight="1" x14ac:dyDescent="0.2">
      <c r="A28" s="34"/>
      <c r="B28" s="24" t="str">
        <f t="shared" si="0"/>
        <v>Me</v>
      </c>
      <c r="C28" s="25">
        <f t="shared" si="22"/>
        <v>45343</v>
      </c>
      <c r="D28" s="51"/>
      <c r="E28" s="116"/>
      <c r="F28" s="52"/>
      <c r="G28" s="53"/>
      <c r="H28" s="54"/>
      <c r="I28" s="55"/>
      <c r="J28" s="54"/>
      <c r="K28" s="55"/>
      <c r="L28" s="40">
        <f t="shared" si="1"/>
        <v>0</v>
      </c>
      <c r="M28" s="41">
        <f t="shared" si="23"/>
        <v>0.31666666666666665</v>
      </c>
      <c r="N28" s="42">
        <f>IF(AND(D28&lt;&gt;"Jour libre 4/5",B28&lt;&gt;"Sa",B28&lt;&gt;"Di"),SUM(N27,Configuration!$H$41),SUM(N27))</f>
        <v>12.033333333333326</v>
      </c>
      <c r="O28" s="49" t="str">
        <f t="shared" si="24"/>
        <v>-</v>
      </c>
      <c r="P28" s="143">
        <f t="shared" si="17"/>
        <v>11.71666666666666</v>
      </c>
      <c r="Q28" s="167">
        <f t="shared" si="18"/>
        <v>0</v>
      </c>
      <c r="R28" s="168">
        <f t="shared" si="18"/>
        <v>0</v>
      </c>
      <c r="S28" s="168">
        <f t="shared" si="18"/>
        <v>0</v>
      </c>
      <c r="T28" s="169">
        <f t="shared" si="18"/>
        <v>0</v>
      </c>
      <c r="U28" s="97">
        <f t="shared" si="2"/>
        <v>0</v>
      </c>
      <c r="V28" s="97">
        <f t="shared" si="3"/>
        <v>0</v>
      </c>
      <c r="W28" s="97">
        <f t="shared" si="4"/>
        <v>0</v>
      </c>
      <c r="X28" s="97">
        <f t="shared" si="5"/>
        <v>0</v>
      </c>
      <c r="Y28" s="209"/>
      <c r="Z28" s="210"/>
      <c r="AA28" s="210"/>
      <c r="AB28" s="128">
        <f>IF(AND(D28="Jour férié semaine",((G28-F28)+(I28-H28)+(K28-J28)=0)),VLOOKUP(D28,Systeemgegevens!$J:$K,2,FALSE),0)</f>
        <v>0</v>
      </c>
      <c r="AC28" s="43">
        <f>IF(AND(NOT(ISERROR(FIND("Congé",D28))),ISERROR(FIND("1/2",D28)),ISERROR(FIND("Synd",D28)),ISERROR(FIND("synd",D28)),(G28-F28+I28-H28+K28-J28)=0),VLOOKUP(D28,Systeemgegevens!$J:$K,2,FALSE),IF(AND(NOT(ISERROR(FIND("1/2 Congé + ",D28))),(G28-F28+I28-H28+K28-J28)=0),VLOOKUP(D28,Systeemgegevens!$J:$K,2,FALSE)/2,IF(AND(NOT(ISERROR(FIND("1/2 Congé",D28))),ISERROR(FIND(" + ",D28)),ISERROR(FIND("1/2 Congé Synd.",D28))),VLOOKUP(D28,Systeemgegevens!$J:$K,2,FALSE),0)))</f>
        <v>0</v>
      </c>
      <c r="AD28" s="43">
        <f>IF(AND(OR(D28="1/2 Congé Synd.",D28="Congé Synd."),((G28-F28)+(I28-H28)+(K28-J28)=0)),VLOOKUP(D28,Systeemgegevens!$J:$K,2,FALSE),IF(AND(D28="1/2 Congé + 1/2 synd.",((G28-F28)+(I28-H28)+(K28-J28)=0)),AC28,0))</f>
        <v>0</v>
      </c>
      <c r="AE28" s="43">
        <f>IF(AND(D28="Jour de pont",((G28-F28)+(I28-H28)+(K28-J28)=0)),VLOOKUP(D28,Systeemgegevens!$J:$K,2,FALSE),0)</f>
        <v>0</v>
      </c>
      <c r="AF28" s="43">
        <f>IF(AND(D28="Jour libre 4/5",AND((G28-F28)+(I28-H28)+(K28-J28)=0)),VLOOKUP(D28,Systeemgegevens!$J:$K,2,FALSE),0)</f>
        <v>0</v>
      </c>
      <c r="AG28" s="118">
        <f>IF(AND(D28&lt;&gt;"",SUM(AB28:AF28)=0,D28&lt;&gt;$AB$4,D28&lt;&gt;$AC$4,D28&lt;&gt;$AE$4,D28&lt;&gt;$AF$4),VLOOKUP(D28,Systeemgegevens!$J:$K,2,FALSE),0)</f>
        <v>0</v>
      </c>
      <c r="AH28" s="119">
        <f t="shared" si="6"/>
        <v>0</v>
      </c>
      <c r="AI28" s="101">
        <f t="shared" si="7"/>
        <v>0</v>
      </c>
      <c r="AJ28" s="118">
        <f t="shared" si="19"/>
        <v>0</v>
      </c>
      <c r="AK28" s="119">
        <f t="shared" si="8"/>
        <v>0</v>
      </c>
      <c r="AL28" s="101">
        <f t="shared" si="9"/>
        <v>0</v>
      </c>
      <c r="AM28" s="43">
        <f t="shared" si="20"/>
        <v>0</v>
      </c>
      <c r="AN28" s="118">
        <f t="shared" si="21"/>
        <v>0</v>
      </c>
      <c r="AO28" s="122">
        <f t="shared" si="10"/>
        <v>0</v>
      </c>
      <c r="AP28" s="107">
        <f t="shared" si="11"/>
        <v>0</v>
      </c>
      <c r="AQ28" s="107">
        <f t="shared" si="12"/>
        <v>0</v>
      </c>
      <c r="AR28" s="123">
        <f t="shared" si="13"/>
        <v>0</v>
      </c>
      <c r="AS28" s="124">
        <f t="shared" si="14"/>
        <v>0</v>
      </c>
      <c r="AT28" s="124">
        <f t="shared" si="15"/>
        <v>0</v>
      </c>
      <c r="AU28" s="124">
        <f t="shared" si="16"/>
        <v>0</v>
      </c>
      <c r="AV28" s="117" t="s">
        <v>17</v>
      </c>
      <c r="AW28" s="129">
        <f>IF(($R$39=AV28)*AND($R$40&lt;&gt;""),VLOOKUP($R$40,'Barèmes police'!$BJ$4:$BK$30,2),0)</f>
        <v>0</v>
      </c>
      <c r="AX28" s="16" t="str">
        <f>IF('Types de jours'!F34&lt;&gt;"",'Types de jours'!F34,"")</f>
        <v/>
      </c>
      <c r="AY28" s="144" t="str">
        <f>IF(AX28&lt;&gt;"",'Types de jours'!I34,"")</f>
        <v/>
      </c>
      <c r="AZ28" s="269"/>
      <c r="BA28" s="154"/>
      <c r="BB28" s="154"/>
      <c r="BC28" s="154"/>
      <c r="BD28" s="154"/>
      <c r="BE28" s="154"/>
      <c r="BF28" s="154"/>
    </row>
    <row r="29" spans="1:58" ht="12.75" customHeight="1" x14ac:dyDescent="0.2">
      <c r="A29" s="34"/>
      <c r="B29" s="24" t="str">
        <f t="shared" si="0"/>
        <v>Je</v>
      </c>
      <c r="C29" s="25">
        <f t="shared" si="22"/>
        <v>45344</v>
      </c>
      <c r="D29" s="51"/>
      <c r="E29" s="116"/>
      <c r="F29" s="52"/>
      <c r="G29" s="53"/>
      <c r="H29" s="54"/>
      <c r="I29" s="55"/>
      <c r="J29" s="54"/>
      <c r="K29" s="55"/>
      <c r="L29" s="40">
        <f t="shared" si="1"/>
        <v>0</v>
      </c>
      <c r="M29" s="41">
        <f t="shared" si="23"/>
        <v>0.31666666666666665</v>
      </c>
      <c r="N29" s="42">
        <f>IF(AND(D29&lt;&gt;"Jour libre 4/5",B29&lt;&gt;"Sa",B29&lt;&gt;"Di"),SUM(N28,Configuration!$H$41),SUM(N28))</f>
        <v>12.349999999999993</v>
      </c>
      <c r="O29" s="49" t="str">
        <f t="shared" si="24"/>
        <v>-</v>
      </c>
      <c r="P29" s="143">
        <f t="shared" si="17"/>
        <v>12.033333333333326</v>
      </c>
      <c r="Q29" s="167">
        <f t="shared" si="18"/>
        <v>0</v>
      </c>
      <c r="R29" s="168">
        <f t="shared" si="18"/>
        <v>0</v>
      </c>
      <c r="S29" s="168">
        <f t="shared" si="18"/>
        <v>0</v>
      </c>
      <c r="T29" s="169">
        <f t="shared" si="18"/>
        <v>0</v>
      </c>
      <c r="U29" s="97">
        <f t="shared" si="2"/>
        <v>0</v>
      </c>
      <c r="V29" s="97">
        <f t="shared" si="3"/>
        <v>0</v>
      </c>
      <c r="W29" s="97">
        <f t="shared" si="4"/>
        <v>0</v>
      </c>
      <c r="X29" s="97">
        <f t="shared" si="5"/>
        <v>0</v>
      </c>
      <c r="Y29" s="209"/>
      <c r="Z29" s="210"/>
      <c r="AA29" s="210"/>
      <c r="AB29" s="128">
        <f>IF(AND(D29="Jour férié semaine",((G29-F29)+(I29-H29)+(K29-J29)=0)),VLOOKUP(D29,Systeemgegevens!$J:$K,2,FALSE),0)</f>
        <v>0</v>
      </c>
      <c r="AC29" s="43">
        <f>IF(AND(NOT(ISERROR(FIND("Congé",D29))),ISERROR(FIND("1/2",D29)),ISERROR(FIND("Synd",D29)),ISERROR(FIND("synd",D29)),(G29-F29+I29-H29+K29-J29)=0),VLOOKUP(D29,Systeemgegevens!$J:$K,2,FALSE),IF(AND(NOT(ISERROR(FIND("1/2 Congé + ",D29))),(G29-F29+I29-H29+K29-J29)=0),VLOOKUP(D29,Systeemgegevens!$J:$K,2,FALSE)/2,IF(AND(NOT(ISERROR(FIND("1/2 Congé",D29))),ISERROR(FIND(" + ",D29)),ISERROR(FIND("1/2 Congé Synd.",D29))),VLOOKUP(D29,Systeemgegevens!$J:$K,2,FALSE),0)))</f>
        <v>0</v>
      </c>
      <c r="AD29" s="43">
        <f>IF(AND(OR(D29="1/2 Congé Synd.",D29="Congé Synd."),((G29-F29)+(I29-H29)+(K29-J29)=0)),VLOOKUP(D29,Systeemgegevens!$J:$K,2,FALSE),IF(AND(D29="1/2 Congé + 1/2 synd.",((G29-F29)+(I29-H29)+(K29-J29)=0)),AC29,0))</f>
        <v>0</v>
      </c>
      <c r="AE29" s="43">
        <f>IF(AND(D29="Jour de pont",((G29-F29)+(I29-H29)+(K29-J29)=0)),VLOOKUP(D29,Systeemgegevens!$J:$K,2,FALSE),0)</f>
        <v>0</v>
      </c>
      <c r="AF29" s="43">
        <f>IF(AND(D29="Jour libre 4/5",AND((G29-F29)+(I29-H29)+(K29-J29)=0)),VLOOKUP(D29,Systeemgegevens!$J:$K,2,FALSE),0)</f>
        <v>0</v>
      </c>
      <c r="AG29" s="118">
        <f>IF(AND(D29&lt;&gt;"",SUM(AB29:AF29)=0,D29&lt;&gt;$AB$4,D29&lt;&gt;$AC$4,D29&lt;&gt;$AE$4,D29&lt;&gt;$AF$4),VLOOKUP(D29,Systeemgegevens!$J:$K,2,FALSE),0)</f>
        <v>0</v>
      </c>
      <c r="AH29" s="119">
        <f t="shared" si="6"/>
        <v>0</v>
      </c>
      <c r="AI29" s="101">
        <f t="shared" si="7"/>
        <v>0</v>
      </c>
      <c r="AJ29" s="118">
        <f t="shared" si="19"/>
        <v>0</v>
      </c>
      <c r="AK29" s="119">
        <f t="shared" si="8"/>
        <v>0</v>
      </c>
      <c r="AL29" s="101">
        <f t="shared" si="9"/>
        <v>0</v>
      </c>
      <c r="AM29" s="43">
        <f t="shared" si="20"/>
        <v>0</v>
      </c>
      <c r="AN29" s="118">
        <f t="shared" si="21"/>
        <v>0</v>
      </c>
      <c r="AO29" s="122">
        <f t="shared" si="10"/>
        <v>0</v>
      </c>
      <c r="AP29" s="107">
        <f t="shared" si="11"/>
        <v>0</v>
      </c>
      <c r="AQ29" s="107">
        <f t="shared" si="12"/>
        <v>0</v>
      </c>
      <c r="AR29" s="123">
        <f t="shared" si="13"/>
        <v>0</v>
      </c>
      <c r="AS29" s="124">
        <f t="shared" si="14"/>
        <v>0</v>
      </c>
      <c r="AT29" s="124">
        <f t="shared" si="15"/>
        <v>0</v>
      </c>
      <c r="AU29" s="124">
        <f t="shared" si="16"/>
        <v>0</v>
      </c>
      <c r="AV29" s="117" t="s">
        <v>16</v>
      </c>
      <c r="AW29" s="129">
        <f>IF(($R$39=AV29)*AND($R$40&lt;&gt;""),VLOOKUP($R$40,'Barèmes police'!$BM$4:$BN$30,2),0)</f>
        <v>0</v>
      </c>
      <c r="AX29" s="145" t="str">
        <f>IF('Types de jours'!F35&lt;&gt;"",'Types de jours'!F35,"")</f>
        <v/>
      </c>
      <c r="AY29" s="146" t="str">
        <f>IF(AX29&lt;&gt;"",'Types de jours'!I35,"")</f>
        <v/>
      </c>
      <c r="AZ29" s="269"/>
      <c r="BA29" s="154"/>
      <c r="BB29" s="154"/>
      <c r="BC29" s="154"/>
      <c r="BD29" s="154"/>
      <c r="BE29" s="154"/>
      <c r="BF29" s="154"/>
    </row>
    <row r="30" spans="1:58" ht="12.75" customHeight="1" x14ac:dyDescent="0.2">
      <c r="A30" s="34"/>
      <c r="B30" s="24" t="str">
        <f t="shared" si="0"/>
        <v>Ve</v>
      </c>
      <c r="C30" s="25">
        <f t="shared" si="22"/>
        <v>45345</v>
      </c>
      <c r="D30" s="51"/>
      <c r="E30" s="116"/>
      <c r="F30" s="52"/>
      <c r="G30" s="53"/>
      <c r="H30" s="54"/>
      <c r="I30" s="55"/>
      <c r="J30" s="54"/>
      <c r="K30" s="55"/>
      <c r="L30" s="40">
        <f t="shared" si="1"/>
        <v>0</v>
      </c>
      <c r="M30" s="41">
        <f t="shared" si="23"/>
        <v>0.31666666666666665</v>
      </c>
      <c r="N30" s="42">
        <f>IF(AND(D30&lt;&gt;"Jour libre 4/5",B30&lt;&gt;"Sa",B30&lt;&gt;"Di"),SUM(N29,Configuration!$H$41),SUM(N29))</f>
        <v>12.666666666666659</v>
      </c>
      <c r="O30" s="49" t="str">
        <f t="shared" si="24"/>
        <v>-</v>
      </c>
      <c r="P30" s="143">
        <f t="shared" si="17"/>
        <v>12.349999999999993</v>
      </c>
      <c r="Q30" s="167">
        <f t="shared" si="18"/>
        <v>0</v>
      </c>
      <c r="R30" s="168">
        <f t="shared" si="18"/>
        <v>0</v>
      </c>
      <c r="S30" s="168">
        <f t="shared" si="18"/>
        <v>0</v>
      </c>
      <c r="T30" s="169">
        <f t="shared" si="18"/>
        <v>0</v>
      </c>
      <c r="U30" s="97">
        <f t="shared" si="2"/>
        <v>0</v>
      </c>
      <c r="V30" s="97">
        <f t="shared" si="3"/>
        <v>0</v>
      </c>
      <c r="W30" s="97">
        <f t="shared" si="4"/>
        <v>0</v>
      </c>
      <c r="X30" s="97">
        <f t="shared" si="5"/>
        <v>0</v>
      </c>
      <c r="Y30" s="209"/>
      <c r="Z30" s="210"/>
      <c r="AA30" s="210"/>
      <c r="AB30" s="128">
        <f>IF(AND(D30="Jour férié semaine",((G30-F30)+(I30-H30)+(K30-J30)=0)),VLOOKUP(D30,Systeemgegevens!$J:$K,2,FALSE),0)</f>
        <v>0</v>
      </c>
      <c r="AC30" s="43">
        <f>IF(AND(NOT(ISERROR(FIND("Congé",D30))),ISERROR(FIND("1/2",D30)),ISERROR(FIND("Synd",D30)),ISERROR(FIND("synd",D30)),(G30-F30+I30-H30+K30-J30)=0),VLOOKUP(D30,Systeemgegevens!$J:$K,2,FALSE),IF(AND(NOT(ISERROR(FIND("1/2 Congé + ",D30))),(G30-F30+I30-H30+K30-J30)=0),VLOOKUP(D30,Systeemgegevens!$J:$K,2,FALSE)/2,IF(AND(NOT(ISERROR(FIND("1/2 Congé",D30))),ISERROR(FIND(" + ",D30)),ISERROR(FIND("1/2 Congé Synd.",D30))),VLOOKUP(D30,Systeemgegevens!$J:$K,2,FALSE),0)))</f>
        <v>0</v>
      </c>
      <c r="AD30" s="43">
        <f>IF(AND(OR(D30="1/2 Congé Synd.",D30="Congé Synd."),((G30-F30)+(I30-H30)+(K30-J30)=0)),VLOOKUP(D30,Systeemgegevens!$J:$K,2,FALSE),IF(AND(D30="1/2 Congé + 1/2 synd.",((G30-F30)+(I30-H30)+(K30-J30)=0)),AC30,0))</f>
        <v>0</v>
      </c>
      <c r="AE30" s="43">
        <f>IF(AND(D30="Jour de pont",((G30-F30)+(I30-H30)+(K30-J30)=0)),VLOOKUP(D30,Systeemgegevens!$J:$K,2,FALSE),0)</f>
        <v>0</v>
      </c>
      <c r="AF30" s="43">
        <f>IF(AND(D30="Jour libre 4/5",AND((G30-F30)+(I30-H30)+(K30-J30)=0)),VLOOKUP(D30,Systeemgegevens!$J:$K,2,FALSE),0)</f>
        <v>0</v>
      </c>
      <c r="AG30" s="118">
        <f>IF(AND(D30&lt;&gt;"",SUM(AB30:AF30)=0,D30&lt;&gt;$AB$4,D30&lt;&gt;$AC$4,D30&lt;&gt;$AE$4,D30&lt;&gt;$AF$4),VLOOKUP(D30,Systeemgegevens!$J:$K,2,FALSE),0)</f>
        <v>0</v>
      </c>
      <c r="AH30" s="119">
        <f t="shared" si="6"/>
        <v>0</v>
      </c>
      <c r="AI30" s="101">
        <f t="shared" si="7"/>
        <v>0</v>
      </c>
      <c r="AJ30" s="118">
        <f t="shared" si="19"/>
        <v>0</v>
      </c>
      <c r="AK30" s="119">
        <f t="shared" si="8"/>
        <v>0</v>
      </c>
      <c r="AL30" s="101">
        <f t="shared" si="9"/>
        <v>0</v>
      </c>
      <c r="AM30" s="43">
        <f t="shared" si="20"/>
        <v>0</v>
      </c>
      <c r="AN30" s="118">
        <f t="shared" si="21"/>
        <v>0</v>
      </c>
      <c r="AO30" s="122">
        <f t="shared" si="10"/>
        <v>0</v>
      </c>
      <c r="AP30" s="107">
        <f t="shared" si="11"/>
        <v>0</v>
      </c>
      <c r="AQ30" s="107">
        <f t="shared" si="12"/>
        <v>0</v>
      </c>
      <c r="AR30" s="123">
        <f t="shared" si="13"/>
        <v>0</v>
      </c>
      <c r="AS30" s="124">
        <f t="shared" si="14"/>
        <v>0</v>
      </c>
      <c r="AT30" s="124">
        <f t="shared" si="15"/>
        <v>0</v>
      </c>
      <c r="AU30" s="124">
        <f t="shared" si="16"/>
        <v>0</v>
      </c>
      <c r="AV30" s="117" t="s">
        <v>14</v>
      </c>
      <c r="AW30" s="129">
        <f>IF(($R$39=AV30)*AND($R$40&lt;&gt;""),VLOOKUP($R$40,'Barèmes police'!$B$40:$C$66,2),0)</f>
        <v>0</v>
      </c>
      <c r="AX30" s="129"/>
      <c r="AY30" s="129"/>
      <c r="AZ30" s="154"/>
      <c r="BA30" s="154"/>
      <c r="BB30" s="154"/>
      <c r="BC30" s="154"/>
      <c r="BD30" s="154"/>
      <c r="BE30" s="154"/>
      <c r="BF30" s="154"/>
    </row>
    <row r="31" spans="1:58" ht="12.75" customHeight="1" x14ac:dyDescent="0.2">
      <c r="A31" s="34"/>
      <c r="B31" s="24" t="str">
        <f t="shared" si="0"/>
        <v>Sa</v>
      </c>
      <c r="C31" s="25">
        <f t="shared" si="22"/>
        <v>45346</v>
      </c>
      <c r="D31" s="51"/>
      <c r="E31" s="116"/>
      <c r="F31" s="52"/>
      <c r="G31" s="53"/>
      <c r="H31" s="52"/>
      <c r="I31" s="53"/>
      <c r="J31" s="54"/>
      <c r="K31" s="55"/>
      <c r="L31" s="40">
        <f t="shared" si="1"/>
        <v>0</v>
      </c>
      <c r="M31" s="41">
        <f t="shared" si="23"/>
        <v>0.31666666666666665</v>
      </c>
      <c r="N31" s="42">
        <f>IF(AND(D31&lt;&gt;"Jour libre 4/5",B31&lt;&gt;"Sa",B31&lt;&gt;"Di"),SUM(N30,Configuration!$H$41),SUM(N30))</f>
        <v>12.666666666666659</v>
      </c>
      <c r="O31" s="49" t="str">
        <f t="shared" si="24"/>
        <v>-</v>
      </c>
      <c r="P31" s="143">
        <f t="shared" si="17"/>
        <v>12.349999999999993</v>
      </c>
      <c r="Q31" s="167">
        <f t="shared" si="18"/>
        <v>0</v>
      </c>
      <c r="R31" s="168">
        <f t="shared" si="18"/>
        <v>0</v>
      </c>
      <c r="S31" s="168">
        <f t="shared" si="18"/>
        <v>0</v>
      </c>
      <c r="T31" s="169">
        <f t="shared" si="18"/>
        <v>0</v>
      </c>
      <c r="U31" s="97">
        <f t="shared" si="2"/>
        <v>0</v>
      </c>
      <c r="V31" s="97">
        <f t="shared" si="3"/>
        <v>0</v>
      </c>
      <c r="W31" s="97">
        <f t="shared" si="4"/>
        <v>0</v>
      </c>
      <c r="X31" s="97">
        <f t="shared" si="5"/>
        <v>0</v>
      </c>
      <c r="Y31" s="209"/>
      <c r="Z31" s="210"/>
      <c r="AA31" s="210"/>
      <c r="AB31" s="128">
        <f>IF(AND(D31="Jour férié semaine",((G31-F31)+(I31-H31)+(K31-J31)=0)),VLOOKUP(D31,Systeemgegevens!$J:$K,2,FALSE),0)</f>
        <v>0</v>
      </c>
      <c r="AC31" s="43">
        <f>IF(AND(NOT(ISERROR(FIND("Congé",D31))),ISERROR(FIND("1/2",D31)),ISERROR(FIND("Synd",D31)),ISERROR(FIND("synd",D31)),(G31-F31+I31-H31+K31-J31)=0),VLOOKUP(D31,Systeemgegevens!$J:$K,2,FALSE),IF(AND(NOT(ISERROR(FIND("1/2 Congé + ",D31))),(G31-F31+I31-H31+K31-J31)=0),VLOOKUP(D31,Systeemgegevens!$J:$K,2,FALSE)/2,IF(AND(NOT(ISERROR(FIND("1/2 Congé",D31))),ISERROR(FIND(" + ",D31)),ISERROR(FIND("1/2 Congé Synd.",D31))),VLOOKUP(D31,Systeemgegevens!$J:$K,2,FALSE),0)))</f>
        <v>0</v>
      </c>
      <c r="AD31" s="43">
        <f>IF(AND(OR(D31="1/2 Congé Synd.",D31="Congé Synd."),((G31-F31)+(I31-H31)+(K31-J31)=0)),VLOOKUP(D31,Systeemgegevens!$J:$K,2,FALSE),IF(AND(D31="1/2 Congé + 1/2 synd.",((G31-F31)+(I31-H31)+(K31-J31)=0)),AC31,0))</f>
        <v>0</v>
      </c>
      <c r="AE31" s="43">
        <f>IF(AND(D31="Jour de pont",((G31-F31)+(I31-H31)+(K31-J31)=0)),VLOOKUP(D31,Systeemgegevens!$J:$K,2,FALSE),0)</f>
        <v>0</v>
      </c>
      <c r="AF31" s="43">
        <f>IF(AND(D31="Jour libre 4/5",AND((G31-F31)+(I31-H31)+(K31-J31)=0)),VLOOKUP(D31,Systeemgegevens!$J:$K,2,FALSE),0)</f>
        <v>0</v>
      </c>
      <c r="AG31" s="118">
        <f>IF(AND(D31&lt;&gt;"",SUM(AB31:AF31)=0,D31&lt;&gt;$AB$4,D31&lt;&gt;$AC$4,D31&lt;&gt;$AE$4,D31&lt;&gt;$AF$4),VLOOKUP(D31,Systeemgegevens!$J:$K,2,FALSE),0)</f>
        <v>0</v>
      </c>
      <c r="AH31" s="119">
        <f t="shared" si="6"/>
        <v>0</v>
      </c>
      <c r="AI31" s="101">
        <f t="shared" si="7"/>
        <v>0</v>
      </c>
      <c r="AJ31" s="118">
        <f t="shared" si="19"/>
        <v>0</v>
      </c>
      <c r="AK31" s="119">
        <f t="shared" si="8"/>
        <v>0</v>
      </c>
      <c r="AL31" s="101">
        <f t="shared" si="9"/>
        <v>0</v>
      </c>
      <c r="AM31" s="43">
        <f t="shared" si="20"/>
        <v>0</v>
      </c>
      <c r="AN31" s="118">
        <f t="shared" si="21"/>
        <v>0</v>
      </c>
      <c r="AO31" s="122">
        <f t="shared" si="10"/>
        <v>0</v>
      </c>
      <c r="AP31" s="107">
        <f t="shared" si="11"/>
        <v>0</v>
      </c>
      <c r="AQ31" s="107">
        <f t="shared" si="12"/>
        <v>0</v>
      </c>
      <c r="AR31" s="123">
        <f t="shared" si="13"/>
        <v>0</v>
      </c>
      <c r="AS31" s="124">
        <f t="shared" si="14"/>
        <v>0</v>
      </c>
      <c r="AT31" s="124">
        <f t="shared" si="15"/>
        <v>0</v>
      </c>
      <c r="AU31" s="124">
        <f t="shared" si="16"/>
        <v>0</v>
      </c>
      <c r="AV31" s="117" t="s">
        <v>13</v>
      </c>
      <c r="AW31" s="129">
        <f>IF(($R$39=AV31)*AND($R$40&lt;&gt;""),VLOOKUP($R$40,'Barèmes police'!$E$40:$F$66,2),0)</f>
        <v>0</v>
      </c>
      <c r="AX31" s="129"/>
      <c r="AY31" s="129"/>
      <c r="AZ31" s="154"/>
      <c r="BA31" s="154"/>
      <c r="BB31" s="154"/>
      <c r="BC31" s="154"/>
      <c r="BD31" s="154"/>
      <c r="BE31" s="154"/>
      <c r="BF31" s="154"/>
    </row>
    <row r="32" spans="1:58" ht="12.75" customHeight="1" x14ac:dyDescent="0.2">
      <c r="A32" s="34"/>
      <c r="B32" s="24" t="str">
        <f t="shared" si="0"/>
        <v>Di</v>
      </c>
      <c r="C32" s="25">
        <f t="shared" si="22"/>
        <v>45347</v>
      </c>
      <c r="D32" s="51"/>
      <c r="E32" s="116"/>
      <c r="F32" s="52"/>
      <c r="G32" s="53"/>
      <c r="H32" s="52"/>
      <c r="I32" s="53"/>
      <c r="J32" s="54"/>
      <c r="K32" s="55"/>
      <c r="L32" s="40">
        <f t="shared" si="1"/>
        <v>0</v>
      </c>
      <c r="M32" s="41">
        <f t="shared" si="23"/>
        <v>0.31666666666666665</v>
      </c>
      <c r="N32" s="42">
        <f>IF(AND(D32&lt;&gt;"Jour libre 4/5",B32&lt;&gt;"Sa",B32&lt;&gt;"Di"),SUM(N31,Configuration!$H$41),SUM(N31))</f>
        <v>12.666666666666659</v>
      </c>
      <c r="O32" s="49" t="str">
        <f t="shared" si="24"/>
        <v>-</v>
      </c>
      <c r="P32" s="143">
        <f t="shared" si="17"/>
        <v>12.349999999999993</v>
      </c>
      <c r="Q32" s="167">
        <f t="shared" si="18"/>
        <v>0</v>
      </c>
      <c r="R32" s="168">
        <f t="shared" si="18"/>
        <v>0</v>
      </c>
      <c r="S32" s="168">
        <f t="shared" si="18"/>
        <v>0</v>
      </c>
      <c r="T32" s="169">
        <f t="shared" si="18"/>
        <v>0</v>
      </c>
      <c r="U32" s="97">
        <f t="shared" si="2"/>
        <v>0</v>
      </c>
      <c r="V32" s="97">
        <f t="shared" si="3"/>
        <v>0</v>
      </c>
      <c r="W32" s="97">
        <f t="shared" si="4"/>
        <v>0</v>
      </c>
      <c r="X32" s="97">
        <f t="shared" si="5"/>
        <v>0</v>
      </c>
      <c r="Y32" s="209"/>
      <c r="Z32" s="210"/>
      <c r="AA32" s="210"/>
      <c r="AB32" s="128">
        <f>IF(AND(D32="Jour férié semaine",((G32-F32)+(I32-H32)+(K32-J32)=0)),VLOOKUP(D32,Systeemgegevens!$J:$K,2,FALSE),0)</f>
        <v>0</v>
      </c>
      <c r="AC32" s="43">
        <f>IF(AND(NOT(ISERROR(FIND("Congé",D32))),ISERROR(FIND("1/2",D32)),ISERROR(FIND("Synd",D32)),ISERROR(FIND("synd",D32)),(G32-F32+I32-H32+K32-J32)=0),VLOOKUP(D32,Systeemgegevens!$J:$K,2,FALSE),IF(AND(NOT(ISERROR(FIND("1/2 Congé + ",D32))),(G32-F32+I32-H32+K32-J32)=0),VLOOKUP(D32,Systeemgegevens!$J:$K,2,FALSE)/2,IF(AND(NOT(ISERROR(FIND("1/2 Congé",D32))),ISERROR(FIND(" + ",D32)),ISERROR(FIND("1/2 Congé Synd.",D32))),VLOOKUP(D32,Systeemgegevens!$J:$K,2,FALSE),0)))</f>
        <v>0</v>
      </c>
      <c r="AD32" s="43">
        <f>IF(AND(OR(D32="1/2 Congé Synd.",D32="Congé Synd."),((G32-F32)+(I32-H32)+(K32-J32)=0)),VLOOKUP(D32,Systeemgegevens!$J:$K,2,FALSE),IF(AND(D32="1/2 Congé + 1/2 synd.",((G32-F32)+(I32-H32)+(K32-J32)=0)),AC32,0))</f>
        <v>0</v>
      </c>
      <c r="AE32" s="43">
        <f>IF(AND(D32="Jour de pont",((G32-F32)+(I32-H32)+(K32-J32)=0)),VLOOKUP(D32,Systeemgegevens!$J:$K,2,FALSE),0)</f>
        <v>0</v>
      </c>
      <c r="AF32" s="43">
        <f>IF(AND(D32="Jour libre 4/5",AND((G32-F32)+(I32-H32)+(K32-J32)=0)),VLOOKUP(D32,Systeemgegevens!$J:$K,2,FALSE),0)</f>
        <v>0</v>
      </c>
      <c r="AG32" s="118">
        <f>IF(AND(D32&lt;&gt;"",SUM(AB32:AF32)=0,D32&lt;&gt;$AB$4,D32&lt;&gt;$AC$4,D32&lt;&gt;$AE$4,D32&lt;&gt;$AF$4),VLOOKUP(D32,Systeemgegevens!$J:$K,2,FALSE),0)</f>
        <v>0</v>
      </c>
      <c r="AH32" s="119">
        <f t="shared" si="6"/>
        <v>0</v>
      </c>
      <c r="AI32" s="101">
        <f t="shared" si="7"/>
        <v>0</v>
      </c>
      <c r="AJ32" s="118">
        <f t="shared" si="19"/>
        <v>0</v>
      </c>
      <c r="AK32" s="119">
        <f t="shared" si="8"/>
        <v>0</v>
      </c>
      <c r="AL32" s="101">
        <f t="shared" si="9"/>
        <v>0</v>
      </c>
      <c r="AM32" s="43">
        <f t="shared" si="20"/>
        <v>0</v>
      </c>
      <c r="AN32" s="118">
        <f t="shared" si="21"/>
        <v>0</v>
      </c>
      <c r="AO32" s="122">
        <f t="shared" si="10"/>
        <v>0</v>
      </c>
      <c r="AP32" s="107">
        <f t="shared" si="11"/>
        <v>0</v>
      </c>
      <c r="AQ32" s="107">
        <f t="shared" si="12"/>
        <v>0</v>
      </c>
      <c r="AR32" s="123">
        <f t="shared" si="13"/>
        <v>0</v>
      </c>
      <c r="AS32" s="124">
        <f t="shared" si="14"/>
        <v>0</v>
      </c>
      <c r="AT32" s="124">
        <f t="shared" si="15"/>
        <v>0</v>
      </c>
      <c r="AU32" s="124">
        <f t="shared" si="16"/>
        <v>0</v>
      </c>
      <c r="AV32" s="117" t="s">
        <v>7</v>
      </c>
      <c r="AW32" s="129">
        <f>IF(($R$39=AV32)*AND($R$40&lt;&gt;""),VLOOKUP($R$40,'Barèmes police'!$AC$40:$AD$66,2),0)</f>
        <v>0</v>
      </c>
      <c r="AX32" s="129"/>
      <c r="AY32" s="129"/>
      <c r="AZ32" s="154"/>
      <c r="BA32" s="154"/>
      <c r="BB32" s="154"/>
      <c r="BC32" s="154"/>
      <c r="BD32" s="154"/>
      <c r="BE32" s="154"/>
      <c r="BF32" s="154"/>
    </row>
    <row r="33" spans="1:58" ht="12.75" customHeight="1" x14ac:dyDescent="0.2">
      <c r="A33" s="34"/>
      <c r="B33" s="24" t="str">
        <f t="shared" si="0"/>
        <v>Lu</v>
      </c>
      <c r="C33" s="25">
        <f t="shared" si="22"/>
        <v>45348</v>
      </c>
      <c r="D33" s="51"/>
      <c r="E33" s="116"/>
      <c r="F33" s="52"/>
      <c r="G33" s="53"/>
      <c r="H33" s="54"/>
      <c r="I33" s="55"/>
      <c r="J33" s="54"/>
      <c r="K33" s="55"/>
      <c r="L33" s="40">
        <f t="shared" si="1"/>
        <v>0</v>
      </c>
      <c r="M33" s="41">
        <f t="shared" si="23"/>
        <v>0.31666666666666665</v>
      </c>
      <c r="N33" s="42">
        <f>IF(AND(D33&lt;&gt;"Jour libre 4/5",B33&lt;&gt;"Sa",B33&lt;&gt;"Di"),SUM(N32,Configuration!$H$41),SUM(N32))</f>
        <v>12.983333333333325</v>
      </c>
      <c r="O33" s="49" t="str">
        <f t="shared" si="24"/>
        <v>-</v>
      </c>
      <c r="P33" s="143">
        <f t="shared" si="17"/>
        <v>12.666666666666659</v>
      </c>
      <c r="Q33" s="167">
        <f t="shared" si="18"/>
        <v>0</v>
      </c>
      <c r="R33" s="168">
        <f t="shared" si="18"/>
        <v>0</v>
      </c>
      <c r="S33" s="168">
        <f t="shared" si="18"/>
        <v>0</v>
      </c>
      <c r="T33" s="169">
        <f t="shared" si="18"/>
        <v>0</v>
      </c>
      <c r="U33" s="97">
        <f t="shared" si="2"/>
        <v>0</v>
      </c>
      <c r="V33" s="97">
        <f t="shared" si="3"/>
        <v>0</v>
      </c>
      <c r="W33" s="97">
        <f t="shared" si="4"/>
        <v>0</v>
      </c>
      <c r="X33" s="97">
        <f t="shared" si="5"/>
        <v>0</v>
      </c>
      <c r="Y33" s="209"/>
      <c r="Z33" s="210"/>
      <c r="AA33" s="210"/>
      <c r="AB33" s="128">
        <f>IF(AND(D33="Jour férié semaine",((G33-F33)+(I33-H33)+(K33-J33)=0)),VLOOKUP(D33,Systeemgegevens!$J:$K,2,FALSE),0)</f>
        <v>0</v>
      </c>
      <c r="AC33" s="43">
        <f>IF(AND(NOT(ISERROR(FIND("Congé",D33))),ISERROR(FIND("1/2",D33)),ISERROR(FIND("Synd",D33)),ISERROR(FIND("synd",D33)),(G33-F33+I33-H33+K33-J33)=0),VLOOKUP(D33,Systeemgegevens!$J:$K,2,FALSE),IF(AND(NOT(ISERROR(FIND("1/2 Congé + ",D33))),(G33-F33+I33-H33+K33-J33)=0),VLOOKUP(D33,Systeemgegevens!$J:$K,2,FALSE)/2,IF(AND(NOT(ISERROR(FIND("1/2 Congé",D33))),ISERROR(FIND(" + ",D33)),ISERROR(FIND("1/2 Congé Synd.",D33))),VLOOKUP(D33,Systeemgegevens!$J:$K,2,FALSE),0)))</f>
        <v>0</v>
      </c>
      <c r="AD33" s="43">
        <f>IF(AND(OR(D33="1/2 Congé Synd.",D33="Congé Synd."),((G33-F33)+(I33-H33)+(K33-J33)=0)),VLOOKUP(D33,Systeemgegevens!$J:$K,2,FALSE),IF(AND(D33="1/2 Congé + 1/2 synd.",((G33-F33)+(I33-H33)+(K33-J33)=0)),AC33,0))</f>
        <v>0</v>
      </c>
      <c r="AE33" s="43">
        <f>IF(AND(D33="Jour de pont",((G33-F33)+(I33-H33)+(K33-J33)=0)),VLOOKUP(D33,Systeemgegevens!$J:$K,2,FALSE),0)</f>
        <v>0</v>
      </c>
      <c r="AF33" s="43">
        <f>IF(AND(D33="Jour libre 4/5",AND((G33-F33)+(I33-H33)+(K33-J33)=0)),VLOOKUP(D33,Systeemgegevens!$J:$K,2,FALSE),0)</f>
        <v>0</v>
      </c>
      <c r="AG33" s="118">
        <f>IF(AND(D33&lt;&gt;"",SUM(AB33:AF33)=0,D33&lt;&gt;$AB$4,D33&lt;&gt;$AC$4,D33&lt;&gt;$AE$4,D33&lt;&gt;$AF$4),VLOOKUP(D33,Systeemgegevens!$J:$K,2,FALSE),0)</f>
        <v>0</v>
      </c>
      <c r="AH33" s="119">
        <f t="shared" si="6"/>
        <v>0</v>
      </c>
      <c r="AI33" s="101">
        <f t="shared" si="7"/>
        <v>0</v>
      </c>
      <c r="AJ33" s="118">
        <f t="shared" si="19"/>
        <v>0</v>
      </c>
      <c r="AK33" s="119">
        <f t="shared" si="8"/>
        <v>0</v>
      </c>
      <c r="AL33" s="101">
        <f t="shared" si="9"/>
        <v>0</v>
      </c>
      <c r="AM33" s="43">
        <f t="shared" si="20"/>
        <v>0</v>
      </c>
      <c r="AN33" s="118">
        <f t="shared" si="21"/>
        <v>0</v>
      </c>
      <c r="AO33" s="122">
        <f t="shared" si="10"/>
        <v>0</v>
      </c>
      <c r="AP33" s="107">
        <f t="shared" si="11"/>
        <v>0</v>
      </c>
      <c r="AQ33" s="107">
        <f t="shared" si="12"/>
        <v>0</v>
      </c>
      <c r="AR33" s="123">
        <f t="shared" si="13"/>
        <v>0</v>
      </c>
      <c r="AS33" s="124">
        <f t="shared" si="14"/>
        <v>0</v>
      </c>
      <c r="AT33" s="124">
        <f t="shared" si="15"/>
        <v>0</v>
      </c>
      <c r="AU33" s="124">
        <f t="shared" si="16"/>
        <v>0</v>
      </c>
      <c r="AV33" s="117" t="s">
        <v>12</v>
      </c>
      <c r="AW33" s="129">
        <f>IF(($R$39=AV33)*AND($R$40&lt;&gt;""),VLOOKUP($R$40,'Barèmes police'!$H$40:$I$66,2),0)</f>
        <v>0</v>
      </c>
      <c r="AX33" s="129"/>
      <c r="AY33" s="129"/>
      <c r="AZ33" s="154"/>
      <c r="BA33" s="154"/>
      <c r="BB33" s="154"/>
      <c r="BC33" s="154"/>
      <c r="BD33" s="154"/>
      <c r="BE33" s="154"/>
      <c r="BF33" s="154"/>
    </row>
    <row r="34" spans="1:58" ht="12.75" customHeight="1" x14ac:dyDescent="0.2">
      <c r="A34" s="34"/>
      <c r="B34" s="24" t="str">
        <f t="shared" si="0"/>
        <v>Ma</v>
      </c>
      <c r="C34" s="25">
        <f t="shared" si="22"/>
        <v>45349</v>
      </c>
      <c r="D34" s="51"/>
      <c r="E34" s="116"/>
      <c r="F34" s="52"/>
      <c r="G34" s="53"/>
      <c r="H34" s="54"/>
      <c r="I34" s="55"/>
      <c r="J34" s="54"/>
      <c r="K34" s="55"/>
      <c r="L34" s="40">
        <f t="shared" si="1"/>
        <v>0</v>
      </c>
      <c r="M34" s="41">
        <f t="shared" si="23"/>
        <v>0.31666666666666665</v>
      </c>
      <c r="N34" s="42">
        <f>IF(AND(D34&lt;&gt;"Jour libre 4/5",B34&lt;&gt;"Sa",B34&lt;&gt;"Di"),SUM(N33,Configuration!$H$41),SUM(N33))</f>
        <v>13.299999999999992</v>
      </c>
      <c r="O34" s="49" t="str">
        <f t="shared" si="24"/>
        <v>-</v>
      </c>
      <c r="P34" s="143">
        <f t="shared" si="17"/>
        <v>12.983333333333325</v>
      </c>
      <c r="Q34" s="167">
        <f t="shared" si="18"/>
        <v>0</v>
      </c>
      <c r="R34" s="168">
        <f t="shared" si="18"/>
        <v>0</v>
      </c>
      <c r="S34" s="168">
        <f t="shared" si="18"/>
        <v>0</v>
      </c>
      <c r="T34" s="169">
        <f t="shared" si="18"/>
        <v>0</v>
      </c>
      <c r="U34" s="97">
        <f t="shared" si="2"/>
        <v>0</v>
      </c>
      <c r="V34" s="97">
        <f t="shared" si="3"/>
        <v>0</v>
      </c>
      <c r="W34" s="97">
        <f t="shared" si="4"/>
        <v>0</v>
      </c>
      <c r="X34" s="97">
        <f t="shared" si="5"/>
        <v>0</v>
      </c>
      <c r="Y34" s="209"/>
      <c r="Z34" s="210"/>
      <c r="AA34" s="210"/>
      <c r="AB34" s="128">
        <f>IF(AND(D34="Jour férié semaine",((G34-F34)+(I34-H34)+(K34-J34)=0)),VLOOKUP(D34,Systeemgegevens!$J:$K,2,FALSE),0)</f>
        <v>0</v>
      </c>
      <c r="AC34" s="43">
        <f>IF(AND(NOT(ISERROR(FIND("Congé",D34))),ISERROR(FIND("1/2",D34)),ISERROR(FIND("Synd",D34)),ISERROR(FIND("synd",D34)),(G34-F34+I34-H34+K34-J34)=0),VLOOKUP(D34,Systeemgegevens!$J:$K,2,FALSE),IF(AND(NOT(ISERROR(FIND("1/2 Congé + ",D34))),(G34-F34+I34-H34+K34-J34)=0),VLOOKUP(D34,Systeemgegevens!$J:$K,2,FALSE)/2,IF(AND(NOT(ISERROR(FIND("1/2 Congé",D34))),ISERROR(FIND(" + ",D34)),ISERROR(FIND("1/2 Congé Synd.",D34))),VLOOKUP(D34,Systeemgegevens!$J:$K,2,FALSE),0)))</f>
        <v>0</v>
      </c>
      <c r="AD34" s="43">
        <f>IF(AND(OR(D34="1/2 Congé Synd.",D34="Congé Synd."),((G34-F34)+(I34-H34)+(K34-J34)=0)),VLOOKUP(D34,Systeemgegevens!$J:$K,2,FALSE),IF(AND(D34="1/2 Congé + 1/2 synd.",((G34-F34)+(I34-H34)+(K34-J34)=0)),AC34,0))</f>
        <v>0</v>
      </c>
      <c r="AE34" s="43">
        <f>IF(AND(D34="Jour de pont",((G34-F34)+(I34-H34)+(K34-J34)=0)),VLOOKUP(D34,Systeemgegevens!$J:$K,2,FALSE),0)</f>
        <v>0</v>
      </c>
      <c r="AF34" s="43">
        <f>IF(AND(D34="Jour libre 4/5",AND((G34-F34)+(I34-H34)+(K34-J34)=0)),VLOOKUP(D34,Systeemgegevens!$J:$K,2,FALSE),0)</f>
        <v>0</v>
      </c>
      <c r="AG34" s="118">
        <f>IF(AND(D34&lt;&gt;"",SUM(AB34:AF34)=0,D34&lt;&gt;$AB$4,D34&lt;&gt;$AC$4,D34&lt;&gt;$AE$4,D34&lt;&gt;$AF$4),VLOOKUP(D34,Systeemgegevens!$J:$K,2,FALSE),0)</f>
        <v>0</v>
      </c>
      <c r="AH34" s="119">
        <f t="shared" si="6"/>
        <v>0</v>
      </c>
      <c r="AI34" s="101">
        <f t="shared" si="7"/>
        <v>0</v>
      </c>
      <c r="AJ34" s="118">
        <f t="shared" si="19"/>
        <v>0</v>
      </c>
      <c r="AK34" s="119">
        <f t="shared" si="8"/>
        <v>0</v>
      </c>
      <c r="AL34" s="101">
        <f t="shared" si="9"/>
        <v>0</v>
      </c>
      <c r="AM34" s="43">
        <f t="shared" si="20"/>
        <v>0</v>
      </c>
      <c r="AN34" s="118">
        <f t="shared" si="21"/>
        <v>0</v>
      </c>
      <c r="AO34" s="122">
        <f t="shared" si="10"/>
        <v>0</v>
      </c>
      <c r="AP34" s="107">
        <f t="shared" si="11"/>
        <v>0</v>
      </c>
      <c r="AQ34" s="107">
        <f t="shared" si="12"/>
        <v>0</v>
      </c>
      <c r="AR34" s="123">
        <f t="shared" si="13"/>
        <v>0</v>
      </c>
      <c r="AS34" s="124">
        <f t="shared" si="14"/>
        <v>0</v>
      </c>
      <c r="AT34" s="124">
        <f t="shared" si="15"/>
        <v>0</v>
      </c>
      <c r="AU34" s="124">
        <f t="shared" si="16"/>
        <v>0</v>
      </c>
      <c r="AV34" s="117" t="s">
        <v>6</v>
      </c>
      <c r="AW34" s="129">
        <f>IF(($R$39=AV34)*AND($R$40&lt;&gt;""),VLOOKUP($R$40,'Barèmes police'!$AF$40:$AG$66,2),0)</f>
        <v>0</v>
      </c>
      <c r="AX34" s="129"/>
      <c r="AY34" s="129"/>
      <c r="AZ34" s="154"/>
      <c r="BA34" s="154"/>
      <c r="BB34" s="154"/>
      <c r="BC34" s="154"/>
      <c r="BD34" s="154"/>
      <c r="BE34" s="154"/>
      <c r="BF34" s="154"/>
    </row>
    <row r="35" spans="1:58" ht="12.75" customHeight="1" x14ac:dyDescent="0.2">
      <c r="A35" s="34"/>
      <c r="B35" s="270" t="str">
        <f t="shared" si="0"/>
        <v>Me</v>
      </c>
      <c r="C35" s="25">
        <f t="shared" si="22"/>
        <v>45350</v>
      </c>
      <c r="D35" s="51"/>
      <c r="E35" s="116"/>
      <c r="F35" s="52"/>
      <c r="G35" s="53"/>
      <c r="H35" s="54"/>
      <c r="I35" s="55"/>
      <c r="J35" s="54"/>
      <c r="K35" s="55"/>
      <c r="L35" s="40">
        <f t="shared" si="1"/>
        <v>0</v>
      </c>
      <c r="M35" s="41">
        <f t="shared" si="23"/>
        <v>0.31666666666666665</v>
      </c>
      <c r="N35" s="42">
        <f>IF(AND(D35&lt;&gt;"Jour libre 4/5",B35&lt;&gt;"Sa",B35&lt;&gt;"Di"),SUM(N34,Configuration!$H$41),SUM(N34))</f>
        <v>13.616666666666658</v>
      </c>
      <c r="O35" s="49" t="str">
        <f t="shared" si="24"/>
        <v>-</v>
      </c>
      <c r="P35" s="143">
        <f t="shared" si="17"/>
        <v>13.299999999999992</v>
      </c>
      <c r="Q35" s="167">
        <f t="shared" si="18"/>
        <v>0</v>
      </c>
      <c r="R35" s="168">
        <f t="shared" si="18"/>
        <v>0</v>
      </c>
      <c r="S35" s="168">
        <f t="shared" si="18"/>
        <v>0</v>
      </c>
      <c r="T35" s="169">
        <f t="shared" si="18"/>
        <v>0</v>
      </c>
      <c r="U35" s="97">
        <f t="shared" si="2"/>
        <v>0</v>
      </c>
      <c r="V35" s="97">
        <f t="shared" si="3"/>
        <v>0</v>
      </c>
      <c r="W35" s="97">
        <f t="shared" si="4"/>
        <v>0</v>
      </c>
      <c r="X35" s="97">
        <f t="shared" si="5"/>
        <v>0</v>
      </c>
      <c r="Y35" s="209"/>
      <c r="Z35" s="210"/>
      <c r="AA35" s="210"/>
      <c r="AB35" s="128">
        <f>IF(AND(D35="Jour férié semaine",((G35-F35)+(I35-H35)+(K35-J35)=0)),VLOOKUP(D35,Systeemgegevens!$J:$K,2,FALSE),0)</f>
        <v>0</v>
      </c>
      <c r="AC35" s="43">
        <f>IF(AND(NOT(ISERROR(FIND("Congé",D35))),ISERROR(FIND("1/2",D35)),ISERROR(FIND("Synd",D35)),ISERROR(FIND("synd",D35)),(G35-F35+I35-H35+K35-J35)=0),VLOOKUP(D35,Systeemgegevens!$J:$K,2,FALSE),IF(AND(NOT(ISERROR(FIND("1/2 Congé + ",D35))),(G35-F35+I35-H35+K35-J35)=0),VLOOKUP(D35,Systeemgegevens!$J:$K,2,FALSE)/2,IF(AND(NOT(ISERROR(FIND("1/2 Congé",D35))),ISERROR(FIND(" + ",D35)),ISERROR(FIND("1/2 Congé Synd.",D35))),VLOOKUP(D35,Systeemgegevens!$J:$K,2,FALSE),0)))</f>
        <v>0</v>
      </c>
      <c r="AD35" s="43">
        <f>IF(AND(OR(D35="1/2 Congé Synd.",D35="Congé Synd."),((G35-F35)+(I35-H35)+(K35-J35)=0)),VLOOKUP(D35,Systeemgegevens!$J:$K,2,FALSE),IF(AND(D35="1/2 Congé + 1/2 synd.",((G35-F35)+(I35-H35)+(K35-J35)=0)),AC35,0))</f>
        <v>0</v>
      </c>
      <c r="AE35" s="43">
        <f>IF(AND(D35="Jour de pont",((G35-F35)+(I35-H35)+(K35-J35)=0)),VLOOKUP(D35,Systeemgegevens!$J:$K,2,FALSE),0)</f>
        <v>0</v>
      </c>
      <c r="AF35" s="43">
        <f>IF(AND(D35="Jour libre 4/5",AND((G35-F35)+(I35-H35)+(K35-J35)=0)),VLOOKUP(D35,Systeemgegevens!$J:$K,2,FALSE),0)</f>
        <v>0</v>
      </c>
      <c r="AG35" s="118">
        <f>IF(AND(D35&lt;&gt;"",SUM(AB35:AF35)=0,D35&lt;&gt;$AB$4,D35&lt;&gt;$AC$4,D35&lt;&gt;$AE$4,D35&lt;&gt;$AF$4),VLOOKUP(D35,Systeemgegevens!$J:$K,2,FALSE),0)</f>
        <v>0</v>
      </c>
      <c r="AH35" s="119">
        <f t="shared" si="6"/>
        <v>0</v>
      </c>
      <c r="AI35" s="101">
        <f t="shared" si="7"/>
        <v>0</v>
      </c>
      <c r="AJ35" s="118">
        <f t="shared" si="19"/>
        <v>0</v>
      </c>
      <c r="AK35" s="119">
        <f t="shared" si="8"/>
        <v>0</v>
      </c>
      <c r="AL35" s="101">
        <f t="shared" si="9"/>
        <v>0</v>
      </c>
      <c r="AM35" s="43">
        <f t="shared" si="20"/>
        <v>0</v>
      </c>
      <c r="AN35" s="118">
        <f t="shared" si="21"/>
        <v>0</v>
      </c>
      <c r="AO35" s="122">
        <f t="shared" si="10"/>
        <v>0</v>
      </c>
      <c r="AP35" s="107">
        <f t="shared" si="11"/>
        <v>0</v>
      </c>
      <c r="AQ35" s="107">
        <f t="shared" si="12"/>
        <v>0</v>
      </c>
      <c r="AR35" s="123">
        <f t="shared" si="13"/>
        <v>0</v>
      </c>
      <c r="AS35" s="124">
        <f t="shared" si="14"/>
        <v>0</v>
      </c>
      <c r="AT35" s="124">
        <f t="shared" si="15"/>
        <v>0</v>
      </c>
      <c r="AU35" s="124">
        <f t="shared" si="16"/>
        <v>0</v>
      </c>
      <c r="AV35" s="117" t="s">
        <v>11</v>
      </c>
      <c r="AW35" s="129">
        <f>IF(($R$39=AV35)*AND($R$40&lt;&gt;""),VLOOKUP($R$40,'Barèmes police'!$K$40:$L$66,2),0)</f>
        <v>0</v>
      </c>
      <c r="AX35" s="129"/>
      <c r="AY35" s="129"/>
      <c r="AZ35" s="154"/>
      <c r="BA35" s="154"/>
      <c r="BB35" s="154"/>
      <c r="BC35" s="154"/>
      <c r="BD35" s="154"/>
      <c r="BE35" s="154"/>
      <c r="BF35" s="154"/>
    </row>
    <row r="36" spans="1:58" ht="12.75" customHeight="1" x14ac:dyDescent="0.2">
      <c r="A36" s="34"/>
      <c r="B36" s="270" t="str">
        <f>CHOOSE(WEEKDAY(C36),"Di","Lu","Ma","Me","Je","Ve","Sa")</f>
        <v>Je</v>
      </c>
      <c r="C36" s="25">
        <f t="shared" si="22"/>
        <v>45351</v>
      </c>
      <c r="D36" s="51"/>
      <c r="E36" s="116"/>
      <c r="F36" s="52"/>
      <c r="G36" s="53"/>
      <c r="H36" s="54"/>
      <c r="I36" s="55"/>
      <c r="J36" s="54"/>
      <c r="K36" s="55"/>
      <c r="L36" s="40">
        <f>(G36-F36)+(I36-H36)+(K36-J36)+SUM(AB36,AC36,AD36,AE36,AF36,AG36)</f>
        <v>0</v>
      </c>
      <c r="M36" s="41">
        <f>M35+L36</f>
        <v>0.31666666666666665</v>
      </c>
      <c r="N36" s="42">
        <f>IF(AND(D36&lt;&gt;"Jour libre 4/5",B36&lt;&gt;"Sa",B36&lt;&gt;"Di",MONTH(C36)=2),SUM(N35,Configuration!$H$41),SUM(N35))</f>
        <v>13.933333333333325</v>
      </c>
      <c r="O36" s="49" t="str">
        <f>IF(M36-N36-$M$4&gt;=0,"+","-")</f>
        <v>-</v>
      </c>
      <c r="P36" s="143">
        <f>ABS(M36-N36-$M$4)</f>
        <v>13.616666666666658</v>
      </c>
      <c r="Q36" s="167">
        <f>AO36</f>
        <v>0</v>
      </c>
      <c r="R36" s="168">
        <f>AP36</f>
        <v>0</v>
      </c>
      <c r="S36" s="168">
        <f>AQ36</f>
        <v>0</v>
      </c>
      <c r="T36" s="169">
        <f>AR36</f>
        <v>0</v>
      </c>
      <c r="U36" s="97">
        <f t="shared" si="2"/>
        <v>0</v>
      </c>
      <c r="V36" s="97">
        <f>IF($R$2="Oui",AM36,0)</f>
        <v>0</v>
      </c>
      <c r="W36" s="97">
        <f>IF($R$2="Oui",AN36,0)</f>
        <v>0</v>
      </c>
      <c r="X36" s="97">
        <f>IF($R$3="Oui",AJ36,0)</f>
        <v>0</v>
      </c>
      <c r="Y36" s="209"/>
      <c r="Z36" s="210"/>
      <c r="AA36" s="210"/>
      <c r="AB36" s="128">
        <f>IF(AND(D36="Jour férié semaine",((G36-F36)+(I36-H36)+(K36-J36)=0)),VLOOKUP(D36,Systeemgegevens!$J:$K,2,FALSE),0)</f>
        <v>0</v>
      </c>
      <c r="AC36" s="43">
        <f>IF(AND(NOT(ISERROR(FIND("Congé",D36))),ISERROR(FIND("1/2",D36)),ISERROR(FIND("Synd",D36)),ISERROR(FIND("synd",D36)),(G36-F36+I36-H36+K36-J36)=0),VLOOKUP(D36,Systeemgegevens!$J:$K,2,FALSE),IF(AND(NOT(ISERROR(FIND("1/2 Congé + ",D36))),(G36-F36+I36-H36+K36-J36)=0),VLOOKUP(D36,Systeemgegevens!$J:$K,2,FALSE)/2,IF(AND(NOT(ISERROR(FIND("1/2 Congé",D36))),ISERROR(FIND(" + ",D36)),ISERROR(FIND("1/2 Congé Synd.",D36))),VLOOKUP(D36,Systeemgegevens!$J:$K,2,FALSE),0)))</f>
        <v>0</v>
      </c>
      <c r="AD36" s="43">
        <f>IF(AND(OR(D36="1/2 Congé Synd.",D36="Congé Synd."),((G36-F36)+(I36-H36)+(K36-J36)=0)),VLOOKUP(D36,Systeemgegevens!$J:$K,2,FALSE),IF(AND(D36="1/2 Congé + 1/2 synd.",((G36-F36)+(I36-H36)+(K36-J36)=0)),AC36,0))</f>
        <v>0</v>
      </c>
      <c r="AE36" s="43">
        <f>IF(AND(D36="Jour de pont",((G36-F36)+(I36-H36)+(K36-J36)=0)),VLOOKUP(D36,Systeemgegevens!$J:$K,2,FALSE),0)</f>
        <v>0</v>
      </c>
      <c r="AF36" s="43">
        <f>IF(AND(D36="Jour libre 4/5",AND((G36-F36)+(I36-H36)+(K36-J36)=0)),VLOOKUP(D36,Systeemgegevens!$J:$K,2,FALSE),0)</f>
        <v>0</v>
      </c>
      <c r="AG36" s="118">
        <f>IF(AND(D36&lt;&gt;"",SUM(AB36:AF36)=0,D36&lt;&gt;$AB$4,D36&lt;&gt;$AC$4,D36&lt;&gt;$AE$4,D36&lt;&gt;$AF$4),VLOOKUP(D36,Systeemgegevens!$J:$K,2,FALSE),0)</f>
        <v>0</v>
      </c>
      <c r="AH36" s="119">
        <f>SUM(IF(AND(G36&gt;$AH$6,F36&lt;=$AH$6),G36-$AH$6,0),IF(F36&gt;$AH$6,G36-F36,0),IF(AND(I36&gt;$AH$6,H36&lt;=$AH$6),I36-$AH$6,0),IF(H36&gt;$AH$6,I36-H36,0),IF(AND(K36&gt;$AH$6,J36&lt;=$AH$6),K36-$AH$6,0),IF(J36&gt;$AH$6,K36-J36,0))</f>
        <v>0</v>
      </c>
      <c r="AI36" s="101">
        <f>SUM(IF(AND(G36&gt;=$AI$7,F36&lt;$AI$7),$AI$7-F36,0),IF(G36&lt;$AI$7,G36-F36,0),IF(AND(I36&gt;=$AI$7,H36&lt;$AI$7),$AI$7-H36,0),IF(I36&lt;$AI$7,I36-H36,0),IF(AND(K36&gt;=$AI$7,J36&lt;$AI$7),$AI$7-J36,0),IF(K36&lt;$AI$7,K36-J36,0))</f>
        <v>0</v>
      </c>
      <c r="AJ36" s="118">
        <f>SUM(AH36:AI36)</f>
        <v>0</v>
      </c>
      <c r="AK36" s="119">
        <f>SUM(IF(AND(G36&gt;$AK$6,F36&lt;=$AK$6),G36-$AK$6,0),IF(F36&gt;$AK$6,G36-F36,0),IF(AND(I36&gt;$AK$6,H36&lt;=$AK$6),I36-$AK$6,0),IF(H36&gt;$AK$6,I36-H36,0),IF(AND(K36&gt;$AK$6,J36&lt;=$AK$6),K36-$AK$6,0),IF(J36&gt;$AK$6,K36-J36,0))</f>
        <v>0</v>
      </c>
      <c r="AL36" s="101">
        <f>SUM(IF(AND(G36&gt;=$AL$7,F36&lt;$AL$7),$AL$7-F36,0),IF(G36&lt;$AL$7,G36-F36,0),IF(AND(I36&gt;=$AL$7,H36&lt;$AL$7),$AL$7-H36,0),IF(I36&lt;$AL$7,I36-H36,0),IF(AND(K36&gt;=$AL$7,J36&lt;$AL$7),$AL$7-J36,0),IF(K36&lt;$AL$7,K36-J36,0))</f>
        <v>0</v>
      </c>
      <c r="AM36" s="43">
        <f>AH36-AK36</f>
        <v>0</v>
      </c>
      <c r="AN36" s="118">
        <f>AK36+AL36</f>
        <v>0</v>
      </c>
      <c r="AO36" s="122">
        <f>SUM(IF(AND(F36&lt;=$AO$6,G36&gt;=$AO$7),1,0),IF(AND(H36&lt;=$AO$6,I36&gt;=$AO$7),1,0),IF(AND(J36&lt;=$AO$6,K36&gt;=$AO$7),1,0))</f>
        <v>0</v>
      </c>
      <c r="AP36" s="107">
        <f>SUM(IF(AND(F36&lt;=$AP$6,G36&gt;=$AP$7),1,0),IF(AND(H36&lt;=$AP$6,I36&gt;=$AP$7),1,0),IF(AND(J36&lt;=$AP$6,K36&gt;=$AP$7),1,0))</f>
        <v>0</v>
      </c>
      <c r="AQ36" s="107">
        <f>SUM(IF(AND(F36&lt;=$AQ$6,G36&gt;=$AQ$7),1,0),IF(AND(H36&lt;=$AQ$6,I36&gt;=$AQ$7),1,0),IF(AND(J36&lt;=$AQ$6,K36&gt;=$AQ$7),1,0))</f>
        <v>0</v>
      </c>
      <c r="AR36" s="123">
        <f>SUM(IF(AND(F36&lt;=$AR$6,G36&gt;=$AR$7),1,0),IF(AND(H36&lt;=$AR$6,I36&gt;=$AR$7),1,0),IF(AND(J36&lt;=$AR$6,K36&gt;=$AR$7),1,0))</f>
        <v>0</v>
      </c>
      <c r="AS36" s="124">
        <f>IF(OR(E36="M",E36="ME"),1,0)</f>
        <v>0</v>
      </c>
      <c r="AT36" s="124">
        <f>IF(OR(E36="E",E36="ME"),1,0)</f>
        <v>0</v>
      </c>
      <c r="AU36" s="124">
        <f t="shared" si="16"/>
        <v>0</v>
      </c>
      <c r="AV36" s="117" t="s">
        <v>2</v>
      </c>
      <c r="AW36" s="129">
        <f>IF(($R$39=AV36)*AND($R$40&lt;&gt;""),VLOOKUP($R$40,'Barèmes police'!$AR$40:$AS$66,2),0)</f>
        <v>0</v>
      </c>
      <c r="AX36" s="129"/>
      <c r="AY36" s="129"/>
      <c r="AZ36" s="154"/>
      <c r="BA36" s="154"/>
      <c r="BB36" s="154"/>
      <c r="BC36" s="154"/>
      <c r="BD36" s="154"/>
      <c r="BE36" s="154"/>
      <c r="BF36" s="154"/>
    </row>
    <row r="37" spans="1:58" ht="12.75" customHeight="1" x14ac:dyDescent="0.2">
      <c r="B37" s="271"/>
      <c r="C37" s="272"/>
      <c r="D37" s="273"/>
      <c r="E37" s="273"/>
      <c r="F37" s="274"/>
      <c r="G37" s="274"/>
      <c r="H37" s="275"/>
      <c r="I37" s="275"/>
      <c r="J37" s="275"/>
      <c r="K37" s="275"/>
      <c r="L37" s="276"/>
      <c r="M37" s="276"/>
      <c r="N37" s="277"/>
      <c r="O37" s="277"/>
      <c r="P37" s="276"/>
      <c r="Q37" s="278"/>
      <c r="R37" s="278"/>
      <c r="S37" s="278"/>
      <c r="T37" s="278"/>
      <c r="U37" s="276"/>
      <c r="V37" s="276"/>
      <c r="W37" s="276"/>
      <c r="X37" s="276"/>
      <c r="Y37" s="279"/>
      <c r="Z37" s="280"/>
      <c r="AA37" s="280"/>
      <c r="AV37" s="117" t="s">
        <v>269</v>
      </c>
      <c r="AW37" s="129">
        <f>IF(($R$39=AV37)*AND($R$40&lt;&gt;""),VLOOKUP($R$40,'Barèmes police'!$AU$40:$AV$66,2),0)</f>
        <v>0</v>
      </c>
      <c r="AX37" s="129"/>
      <c r="AY37" s="129"/>
    </row>
    <row r="38" spans="1:58" ht="12.75" customHeight="1" x14ac:dyDescent="0.2">
      <c r="J38" s="215"/>
      <c r="K38" s="215"/>
      <c r="L38" s="215"/>
      <c r="M38" s="216"/>
      <c r="N38" s="215"/>
      <c r="O38" s="217"/>
      <c r="P38" s="215"/>
      <c r="Q38" s="215"/>
      <c r="R38" s="215"/>
      <c r="S38" s="215"/>
      <c r="T38" s="215"/>
      <c r="U38" s="217"/>
      <c r="V38" s="217"/>
      <c r="W38" s="416" t="s">
        <v>212</v>
      </c>
      <c r="X38" s="417"/>
      <c r="Y38" s="23"/>
      <c r="Z38" s="218"/>
      <c r="AA38" s="218"/>
      <c r="AV38" s="117" t="s">
        <v>5</v>
      </c>
      <c r="AW38" s="129">
        <f>IF(($R$39=AV38)*AND($R$40&lt;&gt;""),VLOOKUP($R$40,'Barèmes police'!$AI$40:$AJ$66,2),0)</f>
        <v>0</v>
      </c>
      <c r="AX38" s="129"/>
      <c r="AY38" s="129"/>
    </row>
    <row r="39" spans="1:58" ht="12.75" customHeight="1" x14ac:dyDescent="0.2">
      <c r="B39" s="475" t="s">
        <v>201</v>
      </c>
      <c r="C39" s="414"/>
      <c r="D39" s="398"/>
      <c r="E39" s="397" t="s">
        <v>202</v>
      </c>
      <c r="F39" s="398"/>
      <c r="G39" s="414" t="s">
        <v>243</v>
      </c>
      <c r="H39" s="415"/>
      <c r="J39" s="407" t="s">
        <v>232</v>
      </c>
      <c r="K39" s="408"/>
      <c r="L39" s="408"/>
      <c r="M39" s="408"/>
      <c r="N39" s="408"/>
      <c r="O39" s="219"/>
      <c r="P39" s="220"/>
      <c r="Q39" s="220"/>
      <c r="R39" s="405" t="s">
        <v>36</v>
      </c>
      <c r="S39" s="406"/>
      <c r="T39" s="402" t="s">
        <v>213</v>
      </c>
      <c r="U39" s="403"/>
      <c r="V39" s="404"/>
      <c r="W39" s="221">
        <v>1</v>
      </c>
      <c r="X39" s="222" t="s">
        <v>54</v>
      </c>
      <c r="Y39" s="23"/>
      <c r="Z39" s="383" t="s">
        <v>75</v>
      </c>
      <c r="AA39" s="384"/>
      <c r="AV39" s="117" t="s">
        <v>10</v>
      </c>
      <c r="AW39" s="129">
        <f>IF(($R$39=AV39)*AND($R$40&lt;&gt;""),VLOOKUP($R$40,'Barèmes police'!$N$40:$O$66,2),0)</f>
        <v>0</v>
      </c>
      <c r="AX39" s="129"/>
      <c r="AY39" s="129"/>
    </row>
    <row r="40" spans="1:58" ht="12.75" customHeight="1" x14ac:dyDescent="0.2">
      <c r="B40" s="476" t="s">
        <v>205</v>
      </c>
      <c r="C40" s="477"/>
      <c r="D40" s="478"/>
      <c r="E40" s="412">
        <f>Jan!E46</f>
        <v>34</v>
      </c>
      <c r="F40" s="413"/>
      <c r="G40" s="399">
        <f>Jan!G46</f>
        <v>10.766666666666666</v>
      </c>
      <c r="H40" s="399"/>
      <c r="J40" s="223"/>
      <c r="K40" s="224"/>
      <c r="L40" s="224"/>
      <c r="M40" s="224"/>
      <c r="N40" s="224"/>
      <c r="O40" s="225"/>
      <c r="P40" s="226"/>
      <c r="Q40" s="226"/>
      <c r="R40" s="464">
        <v>0</v>
      </c>
      <c r="S40" s="465"/>
      <c r="T40" s="466">
        <f>SUM(AW8:AW201)</f>
        <v>14703.88</v>
      </c>
      <c r="U40" s="467"/>
      <c r="V40" s="468"/>
      <c r="W40" s="213">
        <v>13409.11</v>
      </c>
      <c r="X40" s="214">
        <v>12735.61</v>
      </c>
      <c r="Y40" s="23"/>
      <c r="Z40" s="457">
        <v>2.0398999999999998</v>
      </c>
      <c r="AA40" s="458"/>
      <c r="AB40" s="352" t="s">
        <v>66</v>
      </c>
      <c r="AC40" s="353"/>
      <c r="AD40" s="353"/>
      <c r="AE40" s="130">
        <f>T40*Z40</f>
        <v>29994.444811999994</v>
      </c>
      <c r="AG40" s="352" t="s">
        <v>64</v>
      </c>
      <c r="AH40" s="353"/>
      <c r="AI40" s="353"/>
      <c r="AJ40" s="353"/>
      <c r="AK40" s="130">
        <f>T40*Z40/1850</f>
        <v>16.213213411891889</v>
      </c>
      <c r="AM40" s="389" t="s">
        <v>163</v>
      </c>
      <c r="AN40" s="390"/>
      <c r="AO40" s="390"/>
      <c r="AP40" s="390"/>
      <c r="AQ40" s="390"/>
      <c r="AR40" s="127"/>
      <c r="AV40" s="18" t="s">
        <v>4</v>
      </c>
      <c r="AW40" s="129">
        <f>IF(($R$39=AV40)*AND($R$40&lt;&gt;""),VLOOKUP($R$40,'Barèmes police'!$AL$40:$AM$66,2),0)</f>
        <v>0</v>
      </c>
      <c r="AX40" s="129"/>
      <c r="AY40" s="129"/>
    </row>
    <row r="41" spans="1:58" ht="12.75" customHeight="1" x14ac:dyDescent="0.2">
      <c r="B41" s="476" t="s">
        <v>203</v>
      </c>
      <c r="C41" s="477"/>
      <c r="D41" s="478"/>
      <c r="E41" s="459">
        <v>0</v>
      </c>
      <c r="F41" s="460"/>
      <c r="G41" s="463">
        <f>E41*Configuration!$H$41</f>
        <v>0</v>
      </c>
      <c r="H41" s="463"/>
      <c r="J41" s="227" t="s">
        <v>215</v>
      </c>
      <c r="K41" s="228"/>
      <c r="L41" s="229"/>
      <c r="M41" s="230">
        <f>IF(MINUTE(SUM(U8:U36))&gt;=30,SUM(U8:U36)+(TIME(1,0,0))-TIME(0,MINUTE(SUM(U8:U36)),0),SUM(U8:U36)-TIME(0,MINUTE(SUM(U8:U36)),0))</f>
        <v>0</v>
      </c>
      <c r="N41" s="219" t="s">
        <v>190</v>
      </c>
      <c r="O41" s="231"/>
      <c r="P41" s="220"/>
      <c r="Q41" s="220"/>
      <c r="R41" s="232"/>
      <c r="S41" s="354">
        <f>IF($R$2="Oui",(M41*AK41*24),0)</f>
        <v>0</v>
      </c>
      <c r="T41" s="355"/>
      <c r="U41" s="355"/>
      <c r="V41" s="233" t="s">
        <v>55</v>
      </c>
      <c r="W41" s="234">
        <f>IF($R$3="Oui",M41*AK46*24,0)</f>
        <v>0</v>
      </c>
      <c r="X41" s="235" t="s">
        <v>55</v>
      </c>
      <c r="Y41" s="23"/>
      <c r="Z41" s="218"/>
      <c r="AA41" s="218"/>
      <c r="AB41" s="358" t="s">
        <v>67</v>
      </c>
      <c r="AC41" s="359"/>
      <c r="AD41" s="359"/>
      <c r="AE41" s="121">
        <f>AE40*0.075</f>
        <v>2249.5833608999997</v>
      </c>
      <c r="AG41" s="358" t="s">
        <v>65</v>
      </c>
      <c r="AH41" s="359"/>
      <c r="AI41" s="359"/>
      <c r="AJ41" s="359"/>
      <c r="AK41" s="136">
        <f>(AK40*0.9645)*AE46</f>
        <v>9.3231635529859105</v>
      </c>
      <c r="AM41" s="391" t="str">
        <f>IF(Configuration!$H$30="Dagen","Aantal dagen beschikbaar:","Aantal uren beschikbaar:")</f>
        <v>Aantal uren beschikbaar:</v>
      </c>
      <c r="AN41" s="392"/>
      <c r="AO41" s="392"/>
      <c r="AP41" s="392"/>
      <c r="AQ41" s="393">
        <f>IF(Configuration!H30="Dagen",Configuration!H45,Configuration!H45)</f>
        <v>99999</v>
      </c>
      <c r="AR41" s="394"/>
      <c r="AV41" s="18" t="s">
        <v>9</v>
      </c>
      <c r="AW41" s="129">
        <f>IF(($R$39=AV41)*AND($R$40&lt;&gt;""),VLOOKUP($R$40,'Barèmes police'!$Q$40:$R$66,2),0)</f>
        <v>0</v>
      </c>
      <c r="AX41" s="129"/>
      <c r="AY41" s="129"/>
    </row>
    <row r="42" spans="1:58" ht="12.75" customHeight="1" x14ac:dyDescent="0.2">
      <c r="B42" s="476" t="s">
        <v>260</v>
      </c>
      <c r="C42" s="477"/>
      <c r="D42" s="478"/>
      <c r="E42" s="412">
        <f>SUM(AU8:AU36)</f>
        <v>0</v>
      </c>
      <c r="F42" s="413"/>
      <c r="G42" s="399">
        <f>SUM(AU8:AU36)*Configuration!H41</f>
        <v>0</v>
      </c>
      <c r="H42" s="399"/>
      <c r="J42" s="236" t="s">
        <v>217</v>
      </c>
      <c r="K42" s="237"/>
      <c r="L42" s="238"/>
      <c r="M42" s="239">
        <f>IF(MINUTE(SUM(V8:V36))&gt;=30,SUM(V8:V36)+(TIME(1,0,0))-TIME(0,MINUTE(SUM(V8:V36)),0),SUM(V8:V36)-TIME(0,MINUTE(SUM(V8:V36)),0))</f>
        <v>0</v>
      </c>
      <c r="N42" s="225" t="s">
        <v>190</v>
      </c>
      <c r="O42" s="240"/>
      <c r="P42" s="226"/>
      <c r="Q42" s="226"/>
      <c r="R42" s="232"/>
      <c r="S42" s="354">
        <f>IF($R$2="Oui",M42*AK42*24,0)</f>
        <v>0</v>
      </c>
      <c r="T42" s="355"/>
      <c r="U42" s="355"/>
      <c r="V42" s="233" t="s">
        <v>55</v>
      </c>
      <c r="W42" s="23"/>
      <c r="X42" s="241"/>
      <c r="Y42" s="23"/>
      <c r="Z42" s="377" t="s">
        <v>211</v>
      </c>
      <c r="AA42" s="378"/>
      <c r="AB42" s="358" t="s">
        <v>68</v>
      </c>
      <c r="AC42" s="359"/>
      <c r="AD42" s="359"/>
      <c r="AE42" s="121">
        <f>AE40*0.0355</f>
        <v>1064.8027908259996</v>
      </c>
      <c r="AG42" s="358" t="s">
        <v>77</v>
      </c>
      <c r="AH42" s="359"/>
      <c r="AI42" s="359"/>
      <c r="AJ42" s="359"/>
      <c r="AK42" s="136">
        <f>AK41*0.2</f>
        <v>1.8646327105971823</v>
      </c>
      <c r="AM42" s="391" t="str">
        <f>IF(Configuration!$H$30="Dagen","Opgenomen Congé Synd.dagen:","Opgenomen Congé Synd.uren:")</f>
        <v>Opgenomen Congé Synd.uren:</v>
      </c>
      <c r="AN42" s="392"/>
      <c r="AO42" s="392"/>
      <c r="AP42" s="392"/>
      <c r="AQ42" s="469">
        <f>IF(Configuration!$H$30="Dagen",SUM(AD8:AD36)/Configuration!H41,SUM(AD8:AD36))</f>
        <v>0</v>
      </c>
      <c r="AR42" s="470"/>
      <c r="AV42" s="18" t="s">
        <v>3</v>
      </c>
      <c r="AW42" s="129">
        <f>IF(($R$39=AV42)*AND($R$40&lt;&gt;""),VLOOKUP($R$40,'Barèmes police'!$AO$40:$AP$66,2),0)</f>
        <v>0</v>
      </c>
    </row>
    <row r="43" spans="1:58" ht="12.75" customHeight="1" x14ac:dyDescent="0.2">
      <c r="B43" s="476" t="s">
        <v>204</v>
      </c>
      <c r="C43" s="477"/>
      <c r="D43" s="478"/>
      <c r="E43" s="412">
        <f>SUM(AC8:AC36)/Configuration!H41</f>
        <v>0</v>
      </c>
      <c r="F43" s="413"/>
      <c r="G43" s="399">
        <f>SUM(AC8:AC36)</f>
        <v>0</v>
      </c>
      <c r="H43" s="399"/>
      <c r="J43" s="236" t="s">
        <v>216</v>
      </c>
      <c r="K43" s="237"/>
      <c r="L43" s="238"/>
      <c r="M43" s="239">
        <f>IF(MINUTE(SUM(W8:W36))&gt;=30,SUM(W8:W36)+(TIME(1,0,0))-TIME(0,MINUTE(SUM(W8:W36)),0),SUM(W8:W36)-TIME(0,MINUTE(SUM(W8:W36)),0))</f>
        <v>0</v>
      </c>
      <c r="N43" s="237" t="s">
        <v>190</v>
      </c>
      <c r="O43" s="225"/>
      <c r="P43" s="225"/>
      <c r="Q43" s="225"/>
      <c r="R43" s="233"/>
      <c r="S43" s="354">
        <f>IF($R$2="Oui",M43*AK43*24,0)</f>
        <v>0</v>
      </c>
      <c r="T43" s="355"/>
      <c r="U43" s="355"/>
      <c r="V43" s="233" t="s">
        <v>55</v>
      </c>
      <c r="W43" s="234"/>
      <c r="X43" s="235"/>
      <c r="Y43" s="23"/>
      <c r="Z43" s="379"/>
      <c r="AA43" s="380"/>
      <c r="AB43" s="348" t="s">
        <v>69</v>
      </c>
      <c r="AC43" s="349"/>
      <c r="AD43" s="349"/>
      <c r="AE43" s="132">
        <f>AE40-AE41-AE42</f>
        <v>26680.058660273993</v>
      </c>
      <c r="AG43" s="348" t="s">
        <v>78</v>
      </c>
      <c r="AH43" s="349"/>
      <c r="AI43" s="349"/>
      <c r="AJ43" s="349"/>
      <c r="AK43" s="132">
        <f>AK41*0.35</f>
        <v>3.2631072435450683</v>
      </c>
      <c r="AM43" s="375" t="str">
        <f>IF(Configuration!$H$30="Dagen","Resterend aantal dagen:","Resterend aantal uren:")</f>
        <v>Resterend aantal uren:</v>
      </c>
      <c r="AN43" s="376"/>
      <c r="AO43" s="376"/>
      <c r="AP43" s="376"/>
      <c r="AQ43" s="366">
        <f>AQ41-AQ42</f>
        <v>99999</v>
      </c>
      <c r="AR43" s="367"/>
      <c r="AV43" s="18" t="s">
        <v>1</v>
      </c>
      <c r="AW43" s="129">
        <f>IF(($R$39=AV43)*AND($R$40&lt;&gt;""),VLOOKUP($R$40,'Barèmes police'!$T$40:$U$69,2),0)</f>
        <v>0</v>
      </c>
    </row>
    <row r="44" spans="1:58" ht="12.75" customHeight="1" x14ac:dyDescent="0.2">
      <c r="B44" s="409" t="s">
        <v>254</v>
      </c>
      <c r="C44" s="410"/>
      <c r="D44" s="411"/>
      <c r="E44" s="461">
        <f>E40+E41+E42-E43</f>
        <v>34</v>
      </c>
      <c r="F44" s="462"/>
      <c r="G44" s="400">
        <f>G40+G41+G42-G43</f>
        <v>10.766666666666666</v>
      </c>
      <c r="H44" s="401"/>
      <c r="J44" s="236" t="s">
        <v>218</v>
      </c>
      <c r="K44" s="237"/>
      <c r="L44" s="238"/>
      <c r="M44" s="239">
        <f>IF(MINUTE(SUM(X8:X36))&gt;=30,SUM(X8:X36)+(TIME(1,0,0))-TIME(0,MINUTE(SUM(X8:X36)),0),SUM(X8:X36)-TIME(0,MINUTE(SUM(X8:X36)),0))</f>
        <v>0</v>
      </c>
      <c r="N44" s="237" t="s">
        <v>190</v>
      </c>
      <c r="O44" s="225"/>
      <c r="P44" s="225"/>
      <c r="Q44" s="225"/>
      <c r="R44" s="233"/>
      <c r="S44" s="242"/>
      <c r="T44" s="242"/>
      <c r="U44" s="242"/>
      <c r="V44" s="243"/>
      <c r="W44" s="234">
        <f>IF($R$3="Oui",M44*AK49*24,0)</f>
        <v>0</v>
      </c>
      <c r="X44" s="235" t="s">
        <v>55</v>
      </c>
      <c r="Y44" s="23"/>
      <c r="Z44" s="381">
        <f>AE45</f>
        <v>0.40380000000000005</v>
      </c>
      <c r="AA44" s="382"/>
      <c r="AV44" s="18" t="s">
        <v>0</v>
      </c>
      <c r="AW44" s="129">
        <f>IF(($R$39=AV44)*AND($R$40&lt;&gt;""),VLOOKUP($R$40,'Barèmes police'!$W$40:$X$69,2),0)</f>
        <v>0</v>
      </c>
    </row>
    <row r="45" spans="1:58" ht="12.75" customHeight="1" x14ac:dyDescent="0.2">
      <c r="B45" s="23"/>
      <c r="C45" s="23"/>
      <c r="D45" s="23"/>
      <c r="E45" s="23"/>
      <c r="F45" s="23"/>
      <c r="G45" s="23"/>
      <c r="J45" s="236" t="s">
        <v>219</v>
      </c>
      <c r="K45" s="237"/>
      <c r="L45" s="238"/>
      <c r="M45" s="244">
        <f>COUNTIF($Q$8:$Q$36,"1")</f>
        <v>0</v>
      </c>
      <c r="N45" s="225"/>
      <c r="O45" s="362" t="s">
        <v>223</v>
      </c>
      <c r="P45" s="363"/>
      <c r="Q45" s="363"/>
      <c r="R45" s="245">
        <f>COUNTIF($Q$8:$Q$36,"2")</f>
        <v>0</v>
      </c>
      <c r="S45" s="354">
        <f>IF($R$2="Oui",(M45*AE49*Z40+(R45*Z40*2.48)),0)</f>
        <v>0</v>
      </c>
      <c r="T45" s="355"/>
      <c r="U45" s="355"/>
      <c r="V45" s="233" t="s">
        <v>55</v>
      </c>
      <c r="W45" s="234">
        <f>IF($R$3="Oui",(M45*AE49*Z40+(R45*AE49*6.2)),0)</f>
        <v>0</v>
      </c>
      <c r="X45" s="235" t="s">
        <v>55</v>
      </c>
      <c r="Y45" s="23"/>
      <c r="Z45" s="218"/>
      <c r="AA45" s="218"/>
      <c r="AB45" s="352" t="s">
        <v>70</v>
      </c>
      <c r="AC45" s="353"/>
      <c r="AD45" s="353"/>
      <c r="AE45" s="134">
        <f>VLOOKUP(AE43,Systeemgegevens!C3:E14,3)/100</f>
        <v>0.40380000000000005</v>
      </c>
      <c r="AG45" s="352" t="s">
        <v>72</v>
      </c>
      <c r="AH45" s="353"/>
      <c r="AI45" s="353"/>
      <c r="AJ45" s="353"/>
      <c r="AK45" s="133">
        <f>X40*1.2434/1850</f>
        <v>8.5597067427027032</v>
      </c>
      <c r="AV45" s="18" t="s">
        <v>61</v>
      </c>
      <c r="AW45" s="129">
        <f>IF(($R$39=AV45)*AND($R$40&lt;&gt;""),VLOOKUP($R$40,'Barèmes police'!$BM$4:$BN$39,2),0)</f>
        <v>0</v>
      </c>
    </row>
    <row r="46" spans="1:58" ht="12.75" customHeight="1" x14ac:dyDescent="0.2">
      <c r="B46" s="368" t="s">
        <v>206</v>
      </c>
      <c r="C46" s="369"/>
      <c r="D46" s="369"/>
      <c r="E46" s="369"/>
      <c r="F46" s="370" t="s">
        <v>179</v>
      </c>
      <c r="G46" s="371"/>
      <c r="J46" s="236" t="s">
        <v>220</v>
      </c>
      <c r="K46" s="237"/>
      <c r="L46" s="238"/>
      <c r="M46" s="244">
        <f>COUNTIF($R$8:$R$36,"1")</f>
        <v>0</v>
      </c>
      <c r="N46" s="225"/>
      <c r="O46" s="362" t="s">
        <v>224</v>
      </c>
      <c r="P46" s="363"/>
      <c r="Q46" s="363"/>
      <c r="R46" s="245">
        <f>COUNTIF($R$8:$R$36,"2")</f>
        <v>0</v>
      </c>
      <c r="S46" s="354">
        <f>IF($R$2="Oui",(M46*AE50*Z40+(R46*Z40*6.2)),0)</f>
        <v>0</v>
      </c>
      <c r="T46" s="355"/>
      <c r="U46" s="355"/>
      <c r="V46" s="233" t="s">
        <v>55</v>
      </c>
      <c r="W46" s="234">
        <f>IF($R$3="Oui",(M46*AE50*Z40+(R46*AE50*6.2)),0)</f>
        <v>0</v>
      </c>
      <c r="X46" s="235" t="s">
        <v>55</v>
      </c>
      <c r="Y46" s="23"/>
      <c r="Z46" s="383" t="s">
        <v>258</v>
      </c>
      <c r="AA46" s="384"/>
      <c r="AB46" s="348" t="s">
        <v>71</v>
      </c>
      <c r="AC46" s="349"/>
      <c r="AD46" s="349"/>
      <c r="AE46" s="135">
        <f>1-AE45</f>
        <v>0.59619999999999995</v>
      </c>
      <c r="AG46" s="358" t="s">
        <v>73</v>
      </c>
      <c r="AH46" s="359"/>
      <c r="AI46" s="359"/>
      <c r="AJ46" s="359"/>
      <c r="AK46" s="121">
        <f>AK45*0.9645*AE46*1.45</f>
        <v>7.1370886606880939</v>
      </c>
      <c r="AV46" s="18" t="s">
        <v>263</v>
      </c>
      <c r="AW46" s="218">
        <f>IF(($R$39=AV46)*AND($R$40&lt;&gt;""),VLOOKUP($R$40,'Barèmes police'!$AX$40:$AY$70,2),0)</f>
        <v>0</v>
      </c>
    </row>
    <row r="47" spans="1:58" ht="12.75" customHeight="1" x14ac:dyDescent="0.2">
      <c r="B47" s="17"/>
      <c r="F47" s="17"/>
      <c r="G47" s="17"/>
      <c r="J47" s="236" t="s">
        <v>221</v>
      </c>
      <c r="K47" s="237"/>
      <c r="L47" s="238"/>
      <c r="M47" s="244">
        <f>COUNTIF($S$8:$S$36, "1")</f>
        <v>0</v>
      </c>
      <c r="N47" s="225"/>
      <c r="O47" s="362" t="s">
        <v>225</v>
      </c>
      <c r="P47" s="363"/>
      <c r="Q47" s="363"/>
      <c r="R47" s="245">
        <f>COUNTIF($S$8:$S$36, "2")</f>
        <v>0</v>
      </c>
      <c r="S47" s="354">
        <f>IF($R$2="Oui",(M47*AE51*Z40+(R47*Z40*6.2)),0)</f>
        <v>0</v>
      </c>
      <c r="T47" s="355"/>
      <c r="U47" s="355"/>
      <c r="V47" s="233" t="s">
        <v>55</v>
      </c>
      <c r="W47" s="234">
        <f>IF($R$3="Oui",(M47*AE51*Z40+(R47*AE51*6.2)),0)</f>
        <v>0</v>
      </c>
      <c r="X47" s="235" t="s">
        <v>55</v>
      </c>
      <c r="Y47" s="23"/>
      <c r="Z47" s="364">
        <v>0.23</v>
      </c>
      <c r="AA47" s="365"/>
      <c r="AB47" s="148"/>
      <c r="AC47" s="148"/>
      <c r="AD47" s="148"/>
      <c r="AE47" s="153"/>
      <c r="AG47" s="147"/>
      <c r="AH47" s="148"/>
      <c r="AI47" s="148"/>
      <c r="AJ47" s="148"/>
      <c r="AK47" s="121"/>
      <c r="AV47" s="18" t="s">
        <v>264</v>
      </c>
      <c r="AW47" s="218">
        <f>IF(($R$39=AV47)*AND($R$40&lt;&gt;""),VLOOKUP($R$40,'Barèmes police'!$BA$40:$BB$70,2),0)</f>
        <v>0</v>
      </c>
    </row>
    <row r="48" spans="1:58" ht="12.75" customHeight="1" x14ac:dyDescent="0.2">
      <c r="B48" s="372" t="s">
        <v>207</v>
      </c>
      <c r="C48" s="373"/>
      <c r="D48" s="373"/>
      <c r="E48" s="373"/>
      <c r="F48" s="373"/>
      <c r="G48" s="374"/>
      <c r="J48" s="236" t="s">
        <v>222</v>
      </c>
      <c r="K48" s="237"/>
      <c r="L48" s="238"/>
      <c r="M48" s="244">
        <f>COUNTIF($T$8:$T$36,"1")</f>
        <v>0</v>
      </c>
      <c r="N48" s="225"/>
      <c r="O48" s="362" t="s">
        <v>226</v>
      </c>
      <c r="P48" s="363"/>
      <c r="Q48" s="363"/>
      <c r="R48" s="245">
        <f>COUNTIF($T$8:$T$36,"2")</f>
        <v>0</v>
      </c>
      <c r="S48" s="354">
        <f>IF($R$2="Oui",(M48*AE52*Z40+(R48*Z40*3.48)),0)</f>
        <v>0</v>
      </c>
      <c r="T48" s="355"/>
      <c r="U48" s="355"/>
      <c r="V48" s="233" t="s">
        <v>55</v>
      </c>
      <c r="W48" s="234">
        <f>IF($R$3="Oui",(M48*AE52*Z40+(R48*AE52*6.2)),0)</f>
        <v>0</v>
      </c>
      <c r="X48" s="235" t="s">
        <v>55</v>
      </c>
      <c r="Y48" s="23"/>
      <c r="Z48" s="246"/>
      <c r="AA48" s="246"/>
      <c r="AG48" s="358" t="s">
        <v>74</v>
      </c>
      <c r="AH48" s="359"/>
      <c r="AI48" s="359"/>
      <c r="AJ48" s="359"/>
      <c r="AK48" s="121">
        <f>(W40*1.2434/1850)*0.9645*AE46</f>
        <v>5.1824281750374874</v>
      </c>
      <c r="AV48" s="18" t="s">
        <v>265</v>
      </c>
      <c r="AW48" s="218">
        <f>IF(($R$39=AV48)*AND($R$40&lt;&gt;""),VLOOKUP($R$40,'Barèmes police'!$BD$40:$BE$70,2),0)</f>
        <v>0</v>
      </c>
    </row>
    <row r="49" spans="2:49" ht="12.75" customHeight="1" x14ac:dyDescent="0.2">
      <c r="B49" s="395" t="s">
        <v>208</v>
      </c>
      <c r="C49" s="396"/>
      <c r="D49" s="396"/>
      <c r="E49" s="396"/>
      <c r="F49" s="151"/>
      <c r="G49" s="152"/>
      <c r="J49" s="236" t="s">
        <v>227</v>
      </c>
      <c r="K49" s="237"/>
      <c r="L49" s="238"/>
      <c r="M49" s="239">
        <f>IF(P36-F50&gt;=1/49,IF(AND(O36="+",F46="Oui"),IF(MINUTE(P36-F50)&gt;=30,P36-F50+(TIME(1,0,0))-TIME(0,MINUTE(P36-F50),0),P36-F50-TIME(0,MINUTE(P36-F50),0)),0),0)</f>
        <v>0</v>
      </c>
      <c r="N49" s="225" t="s">
        <v>190</v>
      </c>
      <c r="O49" s="360" t="s">
        <v>253</v>
      </c>
      <c r="P49" s="360"/>
      <c r="Q49" s="360"/>
      <c r="R49" s="361"/>
      <c r="S49" s="354">
        <f>IF($R$2="Oui",M49*AK41*24,0)</f>
        <v>0</v>
      </c>
      <c r="T49" s="355"/>
      <c r="U49" s="355"/>
      <c r="V49" s="233" t="s">
        <v>55</v>
      </c>
      <c r="W49" s="234">
        <f>IF($R$3="Oui",M49*AK48*24,0)</f>
        <v>0</v>
      </c>
      <c r="X49" s="235" t="s">
        <v>55</v>
      </c>
      <c r="Y49" s="23"/>
      <c r="Z49" s="246"/>
      <c r="AA49" s="246"/>
      <c r="AB49" s="352" t="s">
        <v>79</v>
      </c>
      <c r="AC49" s="353"/>
      <c r="AD49" s="353"/>
      <c r="AE49" s="133">
        <v>1.24</v>
      </c>
      <c r="AG49" s="348" t="s">
        <v>76</v>
      </c>
      <c r="AH49" s="349"/>
      <c r="AI49" s="349"/>
      <c r="AJ49" s="349"/>
      <c r="AK49" s="131">
        <f>AK45*0.325*0.9645*AE46</f>
        <v>1.5996922860162968</v>
      </c>
      <c r="AV49" s="18" t="s">
        <v>266</v>
      </c>
      <c r="AW49" s="218">
        <f>IF(($R$39=AV49)*AND($R$40&lt;&gt;""),VLOOKUP($R$40,'Barèmes police'!$BG$40:$BH$70,2),0)</f>
        <v>0</v>
      </c>
    </row>
    <row r="50" spans="2:49" ht="12.75" customHeight="1" x14ac:dyDescent="0.2">
      <c r="B50" s="385" t="s">
        <v>209</v>
      </c>
      <c r="C50" s="386"/>
      <c r="D50" s="386"/>
      <c r="E50" s="386"/>
      <c r="F50" s="356">
        <v>0</v>
      </c>
      <c r="G50" s="357"/>
      <c r="J50" s="236" t="s">
        <v>228</v>
      </c>
      <c r="K50" s="237"/>
      <c r="L50" s="238"/>
      <c r="M50" s="247">
        <f>SUM(AT8:AT36)</f>
        <v>0</v>
      </c>
      <c r="N50" s="225" t="s">
        <v>214</v>
      </c>
      <c r="O50" s="360"/>
      <c r="P50" s="360"/>
      <c r="Q50" s="360"/>
      <c r="R50" s="361"/>
      <c r="S50" s="354">
        <f>IF($R$2="Oui",M50*6.7*Z40,0)</f>
        <v>0</v>
      </c>
      <c r="T50" s="355"/>
      <c r="U50" s="355"/>
      <c r="V50" s="233" t="s">
        <v>55</v>
      </c>
      <c r="W50" s="234">
        <f>IF($R$3="Oui",M50*6.7*Z40,0)</f>
        <v>0</v>
      </c>
      <c r="X50" s="235" t="s">
        <v>55</v>
      </c>
      <c r="Y50" s="23"/>
      <c r="Z50" s="246"/>
      <c r="AA50" s="246"/>
      <c r="AB50" s="358" t="s">
        <v>80</v>
      </c>
      <c r="AC50" s="359"/>
      <c r="AD50" s="359"/>
      <c r="AE50" s="121">
        <v>2.48</v>
      </c>
    </row>
    <row r="51" spans="2:49" ht="12.75" customHeight="1" x14ac:dyDescent="0.2">
      <c r="B51" s="387" t="s">
        <v>210</v>
      </c>
      <c r="C51" s="388"/>
      <c r="D51" s="388"/>
      <c r="E51" s="388"/>
      <c r="F51" s="350">
        <v>0</v>
      </c>
      <c r="G51" s="351"/>
      <c r="J51" s="236" t="s">
        <v>229</v>
      </c>
      <c r="K51" s="237"/>
      <c r="L51" s="238"/>
      <c r="M51" s="244">
        <f>SUM(Y8:Y36)</f>
        <v>0</v>
      </c>
      <c r="N51" s="237" t="s">
        <v>56</v>
      </c>
      <c r="O51" s="248"/>
      <c r="P51" s="248"/>
      <c r="Q51" s="248"/>
      <c r="R51" s="249"/>
      <c r="S51" s="354">
        <f>IF($R$2="Oui",M51*Z47,0)</f>
        <v>0</v>
      </c>
      <c r="T51" s="355"/>
      <c r="U51" s="355"/>
      <c r="V51" s="233" t="s">
        <v>55</v>
      </c>
      <c r="W51" s="234">
        <f>IF($R$3="Oui",M51*Z47,0)</f>
        <v>0</v>
      </c>
      <c r="X51" s="235" t="s">
        <v>55</v>
      </c>
      <c r="Y51" s="23"/>
      <c r="Z51" s="246"/>
      <c r="AA51" s="246"/>
      <c r="AB51" s="358" t="s">
        <v>81</v>
      </c>
      <c r="AC51" s="359"/>
      <c r="AD51" s="359"/>
      <c r="AE51" s="121">
        <v>2.48</v>
      </c>
      <c r="AG51" s="352" t="s">
        <v>83</v>
      </c>
      <c r="AH51" s="353"/>
      <c r="AI51" s="353"/>
      <c r="AJ51" s="353"/>
      <c r="AK51" s="130">
        <f>AK41/24</f>
        <v>0.38846514804107962</v>
      </c>
    </row>
    <row r="52" spans="2:49" ht="12.75" customHeight="1" x14ac:dyDescent="0.2">
      <c r="J52" s="236" t="s">
        <v>244</v>
      </c>
      <c r="K52" s="237"/>
      <c r="L52" s="238"/>
      <c r="M52" s="239">
        <f>IF(MINUTE(SUM(Z8:Z36))&gt;=30,SUM(Z8:Z36)+(TIME(1,0,0))-TIME(0,MINUTE(SUM(Z8:Z36)),0),SUM(Z8:Z36)-TIME(0,MINUTE(SUM(Z8:Z36)),0))</f>
        <v>0</v>
      </c>
      <c r="N52" s="237" t="s">
        <v>190</v>
      </c>
      <c r="O52" s="248"/>
      <c r="P52" s="248"/>
      <c r="Q52" s="248"/>
      <c r="R52" s="249"/>
      <c r="S52" s="354">
        <f>IF($R$2="Oui",M52*AK51*24,0)</f>
        <v>0</v>
      </c>
      <c r="T52" s="355"/>
      <c r="U52" s="355"/>
      <c r="V52" s="233" t="s">
        <v>55</v>
      </c>
      <c r="W52" s="234">
        <f>IF($R$3="Oui",M52*AK51*24,0)</f>
        <v>0</v>
      </c>
      <c r="X52" s="235" t="s">
        <v>55</v>
      </c>
      <c r="Y52" s="23"/>
      <c r="Z52" s="246"/>
      <c r="AA52" s="246"/>
      <c r="AB52" s="348" t="s">
        <v>82</v>
      </c>
      <c r="AC52" s="349"/>
      <c r="AD52" s="349"/>
      <c r="AE52" s="131">
        <v>1.74</v>
      </c>
      <c r="AG52" s="348" t="s">
        <v>84</v>
      </c>
      <c r="AH52" s="349"/>
      <c r="AI52" s="349"/>
      <c r="AJ52" s="349"/>
      <c r="AK52" s="132">
        <f>AK41/15</f>
        <v>0.62154423686572735</v>
      </c>
    </row>
    <row r="53" spans="2:49" ht="12.75" customHeight="1" x14ac:dyDescent="0.2">
      <c r="J53" s="236" t="s">
        <v>230</v>
      </c>
      <c r="K53" s="237"/>
      <c r="L53" s="238"/>
      <c r="M53" s="239">
        <f>IF(MINUTE(SUM(AA8:AA36))&gt;=30,SUM(AA8:AA36)+(TIME(1,0,0))-TIME(0,MINUTE(SUM(AA8:AA36)),0),SUM(AA8:AA36)-TIME(0,MINUTE(SUM(AA8:AA36)),0))</f>
        <v>0</v>
      </c>
      <c r="N53" s="237" t="s">
        <v>190</v>
      </c>
      <c r="O53" s="248"/>
      <c r="P53" s="248"/>
      <c r="Q53" s="248"/>
      <c r="R53" s="249"/>
      <c r="S53" s="354">
        <f>IF($R$2="Oui",M53*AK52*24,0)</f>
        <v>0</v>
      </c>
      <c r="T53" s="355"/>
      <c r="U53" s="355"/>
      <c r="V53" s="233" t="s">
        <v>55</v>
      </c>
      <c r="W53" s="234">
        <f>IF($R$3="Oui",M53*AK52*24,0)</f>
        <v>0</v>
      </c>
      <c r="X53" s="235" t="s">
        <v>55</v>
      </c>
      <c r="Y53" s="23"/>
      <c r="Z53" s="246"/>
      <c r="AA53" s="246"/>
    </row>
    <row r="54" spans="2:49" ht="12.75" customHeight="1" x14ac:dyDescent="0.2">
      <c r="J54" s="223" t="s">
        <v>57</v>
      </c>
      <c r="K54" s="224"/>
      <c r="L54" s="250"/>
      <c r="M54" s="251">
        <f>SUM(AS8:AS36)</f>
        <v>0</v>
      </c>
      <c r="N54" s="225" t="s">
        <v>214</v>
      </c>
      <c r="O54" s="252"/>
      <c r="P54" s="252"/>
      <c r="Q54" s="252"/>
      <c r="R54" s="253"/>
      <c r="S54" s="471">
        <f>IF($R$2="Oui",M54*2.81*Z40*AE46,0)</f>
        <v>0</v>
      </c>
      <c r="T54" s="472"/>
      <c r="U54" s="472"/>
      <c r="V54" s="233" t="s">
        <v>55</v>
      </c>
      <c r="W54" s="234">
        <f>IF($R$3="Oui",M54*2.81*Z40*AE46,0)</f>
        <v>0</v>
      </c>
      <c r="X54" s="235" t="s">
        <v>55</v>
      </c>
      <c r="Y54" s="23"/>
      <c r="Z54" s="246"/>
      <c r="AA54" s="246"/>
    </row>
    <row r="55" spans="2:49" ht="12.75" customHeight="1" x14ac:dyDescent="0.2">
      <c r="J55" s="254"/>
      <c r="K55" s="254"/>
      <c r="L55" s="24"/>
      <c r="M55" s="255"/>
      <c r="N55" s="256"/>
      <c r="O55" s="257"/>
      <c r="P55" s="23"/>
      <c r="Q55" s="258"/>
      <c r="R55" s="259" t="s">
        <v>262</v>
      </c>
      <c r="S55" s="473">
        <f>IF($R$2="Oui",SUM(S41:U54),0)</f>
        <v>0</v>
      </c>
      <c r="T55" s="474"/>
      <c r="U55" s="474"/>
      <c r="V55" s="260" t="s">
        <v>55</v>
      </c>
      <c r="W55" s="261">
        <f>IF($R$3="Oui",SUM(W41:W54),0)</f>
        <v>0</v>
      </c>
      <c r="X55" s="262" t="s">
        <v>55</v>
      </c>
      <c r="Y55" s="23"/>
      <c r="Z55" s="246"/>
      <c r="AA55" s="246"/>
      <c r="AB55" s="448" t="s">
        <v>164</v>
      </c>
      <c r="AC55" s="449"/>
      <c r="AD55" s="450"/>
    </row>
    <row r="56" spans="2:49" ht="12.75" customHeight="1" x14ac:dyDescent="0.2">
      <c r="Y56" s="17"/>
      <c r="AB56" s="451">
        <f>Configuration!$H$30</f>
        <v>0</v>
      </c>
      <c r="AC56" s="452"/>
      <c r="AD56" s="453"/>
    </row>
    <row r="70" spans="48:49" ht="12.75" customHeight="1" x14ac:dyDescent="0.2">
      <c r="AV70" s="141" t="s">
        <v>270</v>
      </c>
      <c r="AW70" s="290">
        <f>IF(($R$39=AV70)*AND($R$40&lt;&gt;""),VLOOKUP($R$40,'Barèmes CALOG'!$B$4:$C$34,2),0)</f>
        <v>0</v>
      </c>
    </row>
    <row r="71" spans="48:49" ht="12.75" customHeight="1" x14ac:dyDescent="0.2">
      <c r="AV71" s="141" t="s">
        <v>271</v>
      </c>
      <c r="AW71" s="290">
        <f>IF(($R$39=AV71)*AND($R$40&lt;&gt;""),VLOOKUP($R$40,'Barèmes CALOG'!$E$4:$F$34,2),0)</f>
        <v>0</v>
      </c>
    </row>
    <row r="72" spans="48:49" ht="12.75" customHeight="1" x14ac:dyDescent="0.2">
      <c r="AV72" s="141" t="s">
        <v>272</v>
      </c>
      <c r="AW72" s="290">
        <f>IF(($R$39=AV72)*AND($R$40&lt;&gt;""),VLOOKUP($R$40,'Barèmes CALOG'!$H$4:$I$34,2),0)</f>
        <v>0</v>
      </c>
    </row>
    <row r="73" spans="48:49" ht="12.75" customHeight="1" x14ac:dyDescent="0.2">
      <c r="AV73" s="141" t="s">
        <v>273</v>
      </c>
      <c r="AW73" s="290">
        <f>IF(($R$39=AV73)*AND($R$40&lt;&gt;""),VLOOKUP($R$40,'Barèmes CALOG'!$K$4:$L$34,2),0)</f>
        <v>0</v>
      </c>
    </row>
    <row r="74" spans="48:49" ht="12.75" customHeight="1" x14ac:dyDescent="0.2">
      <c r="AV74" s="141" t="s">
        <v>274</v>
      </c>
      <c r="AW74" s="290">
        <f>IF(($R$39=AV74)*AND($R$40&lt;&gt;""),VLOOKUP($R$40,'Barèmes CALOG'!$N$4:$O$34,2),0)</f>
        <v>0</v>
      </c>
    </row>
    <row r="75" spans="48:49" ht="12.75" customHeight="1" x14ac:dyDescent="0.2">
      <c r="AV75" s="141" t="s">
        <v>275</v>
      </c>
      <c r="AW75" s="290">
        <f>IF(($R$39=AV75)*AND($R$40&lt;&gt;""),VLOOKUP($R$40,'Barèmes CALOG'!$Q$4:$R$34,2),0)</f>
        <v>0</v>
      </c>
    </row>
    <row r="76" spans="48:49" ht="12.75" customHeight="1" x14ac:dyDescent="0.2">
      <c r="AV76" s="141" t="s">
        <v>276</v>
      </c>
      <c r="AW76" s="290">
        <f>IF(($R$39=AV76)*AND($R$40&lt;&gt;""),VLOOKUP($R$40,'Barèmes CALOG'!$T$4:$U$34,2),0)</f>
        <v>0</v>
      </c>
    </row>
    <row r="77" spans="48:49" ht="12.75" customHeight="1" x14ac:dyDescent="0.2">
      <c r="AV77" s="141" t="s">
        <v>277</v>
      </c>
      <c r="AW77" s="290">
        <f>IF(($R$39=AV77)*AND($R$40&lt;&gt;""),VLOOKUP($R$40,'Barèmes CALOG'!$W$4:$X$34,2),0)</f>
        <v>0</v>
      </c>
    </row>
    <row r="78" spans="48:49" ht="12.75" customHeight="1" x14ac:dyDescent="0.2">
      <c r="AV78" s="141" t="s">
        <v>278</v>
      </c>
      <c r="AW78" s="290">
        <f>IF(($R$39=AV78)*AND($R$40&lt;&gt;""),VLOOKUP($R$40,'Barèmes CALOG'!$Z$4:$AA$34,2),0)</f>
        <v>0</v>
      </c>
    </row>
    <row r="79" spans="48:49" ht="12.75" customHeight="1" x14ac:dyDescent="0.2">
      <c r="AV79" s="141" t="s">
        <v>279</v>
      </c>
      <c r="AW79" s="290">
        <f>IF(($R$39=AV79)*AND($R$40&lt;&gt;""),VLOOKUP($R$40,'Barèmes CALOG'!$AC$4:$AD$34,2),0)</f>
        <v>0</v>
      </c>
    </row>
    <row r="80" spans="48:49" ht="12.75" customHeight="1" x14ac:dyDescent="0.2">
      <c r="AV80" s="141" t="s">
        <v>280</v>
      </c>
      <c r="AW80" s="290">
        <f>IF(($R$39=AV80)*AND($R$40&lt;&gt;""),VLOOKUP($R$40,'Barèmes CALOG'!$AF$4:$AG$34,2),0)</f>
        <v>0</v>
      </c>
    </row>
    <row r="81" spans="48:49" ht="12.75" customHeight="1" x14ac:dyDescent="0.2">
      <c r="AV81" s="141" t="s">
        <v>281</v>
      </c>
      <c r="AW81" s="290">
        <f>IF(($R$39=AV81)*AND($R$40&lt;&gt;""),VLOOKUP($R$40,'Barèmes CALOG'!$AI$4:$AJ$34,2),0)</f>
        <v>0</v>
      </c>
    </row>
    <row r="82" spans="48:49" ht="12.75" customHeight="1" x14ac:dyDescent="0.2">
      <c r="AV82" s="141" t="s">
        <v>282</v>
      </c>
      <c r="AW82" s="290">
        <f>IF(($R$39=AV82)*AND($R$40&lt;&gt;""),VLOOKUP($R$40,'Barèmes CALOG'!$AL$4:$AM$34,2),0)</f>
        <v>0</v>
      </c>
    </row>
    <row r="83" spans="48:49" ht="12.75" customHeight="1" x14ac:dyDescent="0.2">
      <c r="AV83" s="141" t="s">
        <v>283</v>
      </c>
      <c r="AW83" s="290">
        <f>IF(($R$39=AV83)*AND($R$40&lt;&gt;""),VLOOKUP($R$40,'Barèmes CALOG'!$AO$4:$AP$34,2),0)</f>
        <v>0</v>
      </c>
    </row>
    <row r="84" spans="48:49" ht="12.75" customHeight="1" x14ac:dyDescent="0.2">
      <c r="AV84" s="141" t="s">
        <v>284</v>
      </c>
      <c r="AW84" s="290">
        <f>IF(($R$39=AV84)*AND($R$40&lt;&gt;""),VLOOKUP($R$40,'Barèmes CALOG'!$AR$4:$AS$34,2),0)</f>
        <v>0</v>
      </c>
    </row>
    <row r="85" spans="48:49" ht="12.75" customHeight="1" x14ac:dyDescent="0.2">
      <c r="AV85" s="141" t="s">
        <v>285</v>
      </c>
      <c r="AW85" s="290">
        <f>IF(($R$39=AV85)*AND($R$40&lt;&gt;""),VLOOKUP($R$40,'Barèmes CALOG'!$AU$4:$AV$34,2),0)</f>
        <v>0</v>
      </c>
    </row>
    <row r="86" spans="48:49" ht="12.75" customHeight="1" x14ac:dyDescent="0.2">
      <c r="AV86" s="141" t="s">
        <v>286</v>
      </c>
      <c r="AW86" s="290">
        <f>IF(($R$39=AV86)*AND($R$40&lt;&gt;""),VLOOKUP($R$40,'Barèmes CALOG'!$AX$4:$AY$34,2),0)</f>
        <v>0</v>
      </c>
    </row>
    <row r="87" spans="48:49" ht="12.75" customHeight="1" x14ac:dyDescent="0.2">
      <c r="AV87" s="141" t="s">
        <v>287</v>
      </c>
      <c r="AW87" s="290">
        <f>IF(($R$39=AV87)*AND($R$40&lt;&gt;""),VLOOKUP($R$40,'Barèmes CALOG'!$BA$4:$BB$34,2),0)</f>
        <v>0</v>
      </c>
    </row>
    <row r="88" spans="48:49" ht="12.75" customHeight="1" x14ac:dyDescent="0.2">
      <c r="AV88" s="141" t="s">
        <v>288</v>
      </c>
      <c r="AW88" s="290">
        <f>IF(($R$39=AV88)*AND($R$40&lt;&gt;""),VLOOKUP($R$40,'Barèmes CALOG'!$BD$4:$BE$34,2),0)</f>
        <v>0</v>
      </c>
    </row>
    <row r="89" spans="48:49" ht="12.75" customHeight="1" x14ac:dyDescent="0.2">
      <c r="AV89" s="141" t="s">
        <v>289</v>
      </c>
      <c r="AW89" s="290">
        <f>IF(($R$39=AV89)*AND($R$40&lt;&gt;""),VLOOKUP($R$40,'Barèmes CALOG'!$BG$4:$BH$34,2),0)</f>
        <v>0</v>
      </c>
    </row>
    <row r="90" spans="48:49" ht="12.75" customHeight="1" x14ac:dyDescent="0.2">
      <c r="AV90" s="141" t="s">
        <v>290</v>
      </c>
      <c r="AW90" s="290">
        <f>IF(($R$39=AV90)*AND($R$40&lt;&gt;""),VLOOKUP($R$40,'Barèmes CALOG'!$BJ$4:$BK$34,2),0)</f>
        <v>0</v>
      </c>
    </row>
    <row r="91" spans="48:49" ht="12.75" customHeight="1" x14ac:dyDescent="0.2">
      <c r="AV91" s="141" t="s">
        <v>291</v>
      </c>
      <c r="AW91" s="290">
        <f>IF(($R$39=AV91)*AND($R$40&lt;&gt;""),VLOOKUP($R$40,'Barèmes CALOG'!$BM$4:$BN$34,2),0)</f>
        <v>0</v>
      </c>
    </row>
    <row r="92" spans="48:49" ht="12.75" customHeight="1" x14ac:dyDescent="0.2">
      <c r="AV92" s="141" t="s">
        <v>292</v>
      </c>
      <c r="AW92" s="290">
        <f>IF(($R$39=AV92)*AND($R$40&lt;&gt;""),VLOOKUP($R$40,'Barèmes CALOG'!$BP$4:$BQ$34,2),0)</f>
        <v>0</v>
      </c>
    </row>
    <row r="93" spans="48:49" ht="12.75" customHeight="1" x14ac:dyDescent="0.2">
      <c r="AV93" s="141" t="s">
        <v>293</v>
      </c>
      <c r="AW93" s="290">
        <f>IF(($R$39=AV93)*AND($R$40&lt;&gt;""),VLOOKUP($R$40,'Barèmes CALOG'!$BS$4:$BT$34,2),0)</f>
        <v>0</v>
      </c>
    </row>
    <row r="94" spans="48:49" ht="12.75" customHeight="1" x14ac:dyDescent="0.2">
      <c r="AV94" s="141" t="s">
        <v>294</v>
      </c>
      <c r="AW94" s="290">
        <f>IF(($R$39=AV94)*AND($R$40&lt;&gt;""),VLOOKUP($R$40,'Barèmes CALOG'!$BV$4:$BW$34,2),0)</f>
        <v>0</v>
      </c>
    </row>
    <row r="95" spans="48:49" ht="12.75" customHeight="1" x14ac:dyDescent="0.2">
      <c r="AV95" s="141" t="s">
        <v>295</v>
      </c>
      <c r="AW95" s="290">
        <f>IF(($R$39=AV95)*AND($R$40&lt;&gt;""),VLOOKUP($R$40,'Barèmes CALOG'!$BY$4:$BZ$34,2),0)</f>
        <v>0</v>
      </c>
    </row>
    <row r="96" spans="48:49" ht="12.75" customHeight="1" x14ac:dyDescent="0.2">
      <c r="AV96" s="141" t="s">
        <v>296</v>
      </c>
      <c r="AW96" s="290">
        <f>IF(($R$39=AV96)*AND($R$40&lt;&gt;""),VLOOKUP($R$40,'Barèmes CALOG'!$CB$4:$CC$34,2),0)</f>
        <v>0</v>
      </c>
    </row>
    <row r="97" spans="48:49" ht="12.75" customHeight="1" x14ac:dyDescent="0.2">
      <c r="AV97" s="141" t="s">
        <v>297</v>
      </c>
      <c r="AW97" s="290">
        <f>IF(($R$39=AV97)*AND($R$40&lt;&gt;""),VLOOKUP($R$40,'Barèmes CALOG'!$CE$4:$CF$34,2),0)</f>
        <v>0</v>
      </c>
    </row>
    <row r="98" spans="48:49" ht="12.75" customHeight="1" x14ac:dyDescent="0.2">
      <c r="AV98" s="141" t="s">
        <v>298</v>
      </c>
      <c r="AW98" s="290">
        <f>IF(($R$39=AV98)*AND($R$40&lt;&gt;""),VLOOKUP($R$40,'Barèmes CALOG'!$CH$4:$CI$34,2),0)</f>
        <v>0</v>
      </c>
    </row>
    <row r="99" spans="48:49" ht="12.75" customHeight="1" x14ac:dyDescent="0.2">
      <c r="AV99" s="141" t="s">
        <v>299</v>
      </c>
      <c r="AW99" s="290">
        <f>IF(($R$39=AV99)*AND($R$40&lt;&gt;""),VLOOKUP($R$40,'Barèmes CALOG'!$CK$4:$CL$34,2),0)</f>
        <v>0</v>
      </c>
    </row>
    <row r="100" spans="48:49" ht="12.75" customHeight="1" x14ac:dyDescent="0.2">
      <c r="AV100" s="141" t="s">
        <v>300</v>
      </c>
      <c r="AW100" s="290">
        <f>IF(($R$39=AV100)*AND($R$40&lt;&gt;""),VLOOKUP($R$40,'Barèmes CALOG'!$CN$4:$CO$34,2),0)</f>
        <v>0</v>
      </c>
    </row>
    <row r="101" spans="48:49" ht="12.75" customHeight="1" x14ac:dyDescent="0.2">
      <c r="AV101" s="141" t="s">
        <v>301</v>
      </c>
      <c r="AW101" s="290">
        <f>IF(($R$39=AV101)*AND($R$40&lt;&gt;""),VLOOKUP($R$40,'Barèmes CALOG'!$CQ$4:$CR$34,2),0)</f>
        <v>0</v>
      </c>
    </row>
    <row r="102" spans="48:49" ht="12.75" customHeight="1" x14ac:dyDescent="0.2">
      <c r="AV102" s="141" t="s">
        <v>302</v>
      </c>
      <c r="AW102" s="290">
        <f>IF(($R$39=AV102)*AND($R$40&lt;&gt;""),VLOOKUP($R$40,'Barèmes CALOG'!$CT$4:$CU$34,2),0)</f>
        <v>0</v>
      </c>
    </row>
    <row r="103" spans="48:49" ht="12.75" customHeight="1" x14ac:dyDescent="0.2">
      <c r="AV103" s="141" t="s">
        <v>303</v>
      </c>
      <c r="AW103" s="290">
        <f>IF(($R$39=AV103)*AND($R$40&lt;&gt;""),VLOOKUP($R$40,'Barèmes CALOG'!$CW$4:$CX$34,2),0)</f>
        <v>0</v>
      </c>
    </row>
    <row r="104" spans="48:49" ht="12.75" customHeight="1" x14ac:dyDescent="0.2">
      <c r="AV104" s="141" t="s">
        <v>304</v>
      </c>
      <c r="AW104" s="290">
        <f>IF(($R$39=AV104)*AND($R$40&lt;&gt;""),VLOOKUP($R$40,'Barèmes CALOG'!$B$40:$C$70,2),0)</f>
        <v>0</v>
      </c>
    </row>
    <row r="105" spans="48:49" ht="12.75" customHeight="1" x14ac:dyDescent="0.2">
      <c r="AV105" s="141" t="s">
        <v>305</v>
      </c>
      <c r="AW105" s="290">
        <f>IF(($R$39=AV105)*AND($R$40&lt;&gt;""),VLOOKUP($R$40,'Barèmes CALOG'!$E$40:$F$70,2),0)</f>
        <v>0</v>
      </c>
    </row>
    <row r="106" spans="48:49" ht="12.75" customHeight="1" x14ac:dyDescent="0.2">
      <c r="AV106" s="141" t="s">
        <v>306</v>
      </c>
      <c r="AW106" s="290">
        <f>IF(($R$39=AV106)*AND($R$40&lt;&gt;""),VLOOKUP($R$40,'Barèmes CALOG'!$H$40:$I$70,2),0)</f>
        <v>0</v>
      </c>
    </row>
    <row r="107" spans="48:49" ht="12.75" customHeight="1" x14ac:dyDescent="0.2">
      <c r="AV107" s="141" t="s">
        <v>307</v>
      </c>
      <c r="AW107" s="290">
        <f>IF(($R$39=AV107)*AND($R$40&lt;&gt;""),VLOOKUP($R$40,'Barèmes CALOG'!$K$40:$L$70,2),0)</f>
        <v>0</v>
      </c>
    </row>
    <row r="108" spans="48:49" ht="12.75" customHeight="1" x14ac:dyDescent="0.2">
      <c r="AV108" s="141" t="s">
        <v>308</v>
      </c>
      <c r="AW108" s="290">
        <f>IF(($R$39=AV108)*AND($R$40&lt;&gt;""),VLOOKUP($R$40,'Barèmes CALOG'!$N$40:$O$70,2),0)</f>
        <v>0</v>
      </c>
    </row>
    <row r="109" spans="48:49" ht="12.75" customHeight="1" x14ac:dyDescent="0.2">
      <c r="AV109" s="141" t="s">
        <v>309</v>
      </c>
      <c r="AW109" s="290">
        <f>IF(($R$39=AV109)*AND($R$40&lt;&gt;""),VLOOKUP($R$40,'Barèmes CALOG'!$Q$40:$R$70,2),0)</f>
        <v>0</v>
      </c>
    </row>
    <row r="110" spans="48:49" ht="12.75" customHeight="1" x14ac:dyDescent="0.2">
      <c r="AV110" s="141" t="s">
        <v>310</v>
      </c>
      <c r="AW110" s="290">
        <f>IF(($R$39=AV110)*AND($R$40&lt;&gt;""),VLOOKUP($R$40,'Barèmes CALOG'!$T$40:$U$70,2),0)</f>
        <v>0</v>
      </c>
    </row>
    <row r="111" spans="48:49" ht="12.75" customHeight="1" x14ac:dyDescent="0.2">
      <c r="AV111" s="141" t="s">
        <v>311</v>
      </c>
      <c r="AW111" s="290">
        <f>IF(($R$39=AV111)*AND($R$40&lt;&gt;""),VLOOKUP($R$40,'Barèmes CALOG'!$W$40:$X$70,2),0)</f>
        <v>0</v>
      </c>
    </row>
    <row r="112" spans="48:49" ht="12.75" customHeight="1" x14ac:dyDescent="0.2">
      <c r="AV112" s="141" t="s">
        <v>312</v>
      </c>
      <c r="AW112" s="290">
        <f>IF(($R$39=AV112)*AND($R$40&lt;&gt;""),VLOOKUP($R$40,'Barèmes CALOG'!$Z$40:$AA$70,2),0)</f>
        <v>0</v>
      </c>
    </row>
    <row r="113" spans="48:49" ht="12.75" customHeight="1" x14ac:dyDescent="0.2">
      <c r="AV113" s="141" t="s">
        <v>313</v>
      </c>
      <c r="AW113" s="290">
        <f>IF(($R$39=AV113)*AND($R$40&lt;&gt;""),VLOOKUP($R$40,'Barèmes CALOG'!$AC$40:$AD$70,2),0)</f>
        <v>0</v>
      </c>
    </row>
    <row r="114" spans="48:49" ht="12.75" customHeight="1" x14ac:dyDescent="0.2">
      <c r="AV114" s="141" t="s">
        <v>314</v>
      </c>
      <c r="AW114" s="290">
        <f>IF(($R$39=AV114)*AND($R$40&lt;&gt;""),VLOOKUP($R$40,'Barèmes CALOG'!$AF$40:$AG$70,2),0)</f>
        <v>0</v>
      </c>
    </row>
    <row r="115" spans="48:49" ht="12.75" customHeight="1" x14ac:dyDescent="0.2">
      <c r="AV115" s="141" t="s">
        <v>315</v>
      </c>
      <c r="AW115" s="290">
        <f>IF(($R$39=AV115)*AND($R$40&lt;&gt;""),VLOOKUP($R$40,'Barèmes CALOG'!$AI$40:$AJ$70,2),0)</f>
        <v>0</v>
      </c>
    </row>
    <row r="116" spans="48:49" ht="12.75" customHeight="1" x14ac:dyDescent="0.2">
      <c r="AV116" s="141" t="s">
        <v>316</v>
      </c>
      <c r="AW116" s="290">
        <f>IF(($R$39=AV116)*AND($R$40&lt;&gt;""),VLOOKUP($R$40,'Barèmes CALOG'!$AL$40:$AM$70,2),0)</f>
        <v>0</v>
      </c>
    </row>
    <row r="117" spans="48:49" ht="12.75" customHeight="1" x14ac:dyDescent="0.2">
      <c r="AV117" s="141" t="s">
        <v>317</v>
      </c>
      <c r="AW117" s="290">
        <f>IF(($R$39=AV117)*AND($R$40&lt;&gt;""),VLOOKUP($R$40,'Barèmes CALOG'!$AO$40:$AP$70,2),0)</f>
        <v>0</v>
      </c>
    </row>
    <row r="118" spans="48:49" ht="12.75" customHeight="1" x14ac:dyDescent="0.2">
      <c r="AV118" s="141" t="s">
        <v>318</v>
      </c>
      <c r="AW118" s="290">
        <f>IF(($R$39=AV118)*AND($R$40&lt;&gt;""),VLOOKUP($R$40,'Barèmes CALOG'!$AR$40:$AS$70,2),0)</f>
        <v>0</v>
      </c>
    </row>
    <row r="119" spans="48:49" ht="12.75" customHeight="1" x14ac:dyDescent="0.2">
      <c r="AV119" s="141" t="s">
        <v>319</v>
      </c>
      <c r="AW119" s="290">
        <f>IF(($R$39=AV119)*AND($R$40&lt;&gt;""),VLOOKUP($R$40,'Barèmes CALOG'!$AU$40:$AV$70,2),0)</f>
        <v>0</v>
      </c>
    </row>
    <row r="120" spans="48:49" ht="12.75" customHeight="1" x14ac:dyDescent="0.2">
      <c r="AV120" s="141" t="s">
        <v>320</v>
      </c>
      <c r="AW120" s="290">
        <f>IF(($R$39=AV120)*AND($R$40&lt;&gt;""),VLOOKUP($R$40,'Barèmes CALOG'!$AX$40:$AY$70,2),0)</f>
        <v>0</v>
      </c>
    </row>
    <row r="121" spans="48:49" ht="12.75" customHeight="1" x14ac:dyDescent="0.2">
      <c r="AV121" s="141" t="s">
        <v>321</v>
      </c>
      <c r="AW121" s="290">
        <f>IF(($R$39=AV121)*AND($R$40&lt;&gt;""),VLOOKUP($R$40,'Barèmes CALOG'!$BA$40:$BB$70,2),0)</f>
        <v>0</v>
      </c>
    </row>
    <row r="122" spans="48:49" ht="12.75" customHeight="1" x14ac:dyDescent="0.2">
      <c r="AV122" s="141" t="s">
        <v>322</v>
      </c>
      <c r="AW122" s="290">
        <f>IF(($R$39=AV122)*AND($R$40&lt;&gt;""),VLOOKUP($R$40,'Barèmes CALOG'!$BD$40:$BE$70,2),0)</f>
        <v>0</v>
      </c>
    </row>
    <row r="123" spans="48:49" ht="12.75" customHeight="1" x14ac:dyDescent="0.2">
      <c r="AV123" s="141" t="s">
        <v>323</v>
      </c>
      <c r="AW123" s="290">
        <f>IF(($R$39=AV123)*AND($R$40&lt;&gt;""),VLOOKUP($R$40,'Barèmes CALOG'!$BG$40:$BH$70,2),0)</f>
        <v>0</v>
      </c>
    </row>
    <row r="124" spans="48:49" ht="12.75" customHeight="1" x14ac:dyDescent="0.2">
      <c r="AV124" s="141" t="s">
        <v>324</v>
      </c>
      <c r="AW124" s="290">
        <f>IF(($R$39=AV124)*AND($R$40&lt;&gt;""),VLOOKUP($R$40,'Barèmes CALOG'!$BJ$40:$BK$70,2),0)</f>
        <v>0</v>
      </c>
    </row>
    <row r="125" spans="48:49" ht="12.75" customHeight="1" x14ac:dyDescent="0.2">
      <c r="AV125" s="141" t="s">
        <v>325</v>
      </c>
      <c r="AW125" s="290">
        <f>IF(($R$39=AV125)*AND($R$40&lt;&gt;""),VLOOKUP($R$40,'Barèmes CALOG'!$BM$40:$BN$70,2),0)</f>
        <v>0</v>
      </c>
    </row>
    <row r="126" spans="48:49" ht="12.75" customHeight="1" x14ac:dyDescent="0.2">
      <c r="AV126" s="141" t="s">
        <v>326</v>
      </c>
      <c r="AW126" s="290">
        <f>IF(($R$39=AV126)*AND($R$40&lt;&gt;""),VLOOKUP($R$40,'Barèmes CALOG'!$BP$40:$BQ$70,2),0)</f>
        <v>0</v>
      </c>
    </row>
    <row r="127" spans="48:49" ht="12.75" customHeight="1" x14ac:dyDescent="0.2">
      <c r="AV127" s="141" t="s">
        <v>327</v>
      </c>
      <c r="AW127" s="290">
        <f>IF(($R$39=AV127)*AND($R$40&lt;&gt;""),VLOOKUP($R$40,'Barèmes CALOG'!$BS$40:$BT$70,2),0)</f>
        <v>0</v>
      </c>
    </row>
    <row r="128" spans="48:49" ht="12.75" customHeight="1" x14ac:dyDescent="0.2">
      <c r="AV128" s="141" t="s">
        <v>328</v>
      </c>
      <c r="AW128" s="290">
        <f>IF(($R$39=AV128)*AND($R$40&lt;&gt;""),VLOOKUP($R$40,'Barèmes CALOG'!$BV$40:$BW$70,2),0)</f>
        <v>0</v>
      </c>
    </row>
    <row r="129" spans="48:49" ht="12.75" customHeight="1" x14ac:dyDescent="0.2">
      <c r="AV129" s="141" t="s">
        <v>329</v>
      </c>
      <c r="AW129" s="290">
        <f>IF(($R$39=AV129)*AND($R$40&lt;&gt;""),VLOOKUP($R$40,'Barèmes CALOG'!$BY$40:$BZ$70,2),0)</f>
        <v>0</v>
      </c>
    </row>
    <row r="130" spans="48:49" ht="12.75" customHeight="1" x14ac:dyDescent="0.2">
      <c r="AV130" s="141" t="s">
        <v>330</v>
      </c>
      <c r="AW130" s="290">
        <f>IF(($R$39=AV130)*AND($R$40&lt;&gt;""),VLOOKUP($R$40,'Barèmes CALOG'!$CB$40:$CC$70,2),0)</f>
        <v>0</v>
      </c>
    </row>
    <row r="131" spans="48:49" ht="12.75" customHeight="1" x14ac:dyDescent="0.2">
      <c r="AV131" s="141" t="s">
        <v>331</v>
      </c>
      <c r="AW131" s="290">
        <f>IF(($R$39=AV131)*AND($R$40&lt;&gt;""),VLOOKUP($R$40,'Barèmes CALOG'!$CE$40:$CF$70,2),0)</f>
        <v>0</v>
      </c>
    </row>
  </sheetData>
  <sheetProtection password="EC91" sheet="1" objects="1" scenarios="1" selectLockedCells="1"/>
  <mergeCells count="124">
    <mergeCell ref="AB55:AD55"/>
    <mergeCell ref="B51:E51"/>
    <mergeCell ref="F51:G51"/>
    <mergeCell ref="S51:U51"/>
    <mergeCell ref="AB50:AD50"/>
    <mergeCell ref="AB56:AD56"/>
    <mergeCell ref="AG51:AJ51"/>
    <mergeCell ref="S53:U53"/>
    <mergeCell ref="AB52:AD52"/>
    <mergeCell ref="AG52:AJ52"/>
    <mergeCell ref="S54:U54"/>
    <mergeCell ref="S55:U55"/>
    <mergeCell ref="S52:U52"/>
    <mergeCell ref="AB51:AD51"/>
    <mergeCell ref="S50:U50"/>
    <mergeCell ref="AB49:AD49"/>
    <mergeCell ref="AG49:AJ49"/>
    <mergeCell ref="B48:G48"/>
    <mergeCell ref="O48:Q48"/>
    <mergeCell ref="S48:U48"/>
    <mergeCell ref="B49:E49"/>
    <mergeCell ref="S49:U49"/>
    <mergeCell ref="AG48:AJ48"/>
    <mergeCell ref="O49:R49"/>
    <mergeCell ref="B50:E50"/>
    <mergeCell ref="F50:G50"/>
    <mergeCell ref="O50:R50"/>
    <mergeCell ref="O47:Q47"/>
    <mergeCell ref="S47:U47"/>
    <mergeCell ref="AB46:AD46"/>
    <mergeCell ref="AG46:AJ46"/>
    <mergeCell ref="O45:Q45"/>
    <mergeCell ref="S45:U45"/>
    <mergeCell ref="AB45:AD45"/>
    <mergeCell ref="Z46:AA46"/>
    <mergeCell ref="Z47:AA47"/>
    <mergeCell ref="B46:E46"/>
    <mergeCell ref="F46:G46"/>
    <mergeCell ref="O46:Q46"/>
    <mergeCell ref="S46:U46"/>
    <mergeCell ref="AG45:AJ45"/>
    <mergeCell ref="AB43:AD43"/>
    <mergeCell ref="AG43:AJ43"/>
    <mergeCell ref="B43:D43"/>
    <mergeCell ref="E43:F43"/>
    <mergeCell ref="G43:H43"/>
    <mergeCell ref="B44:D44"/>
    <mergeCell ref="E44:F44"/>
    <mergeCell ref="G44:H44"/>
    <mergeCell ref="Z44:AA44"/>
    <mergeCell ref="S43:U43"/>
    <mergeCell ref="AM40:AQ40"/>
    <mergeCell ref="B42:D42"/>
    <mergeCell ref="E42:F42"/>
    <mergeCell ref="G42:H42"/>
    <mergeCell ref="S42:U42"/>
    <mergeCell ref="Z42:AA43"/>
    <mergeCell ref="AB41:AD41"/>
    <mergeCell ref="AG41:AJ41"/>
    <mergeCell ref="AM41:AP41"/>
    <mergeCell ref="AM42:AP42"/>
    <mergeCell ref="AQ42:AR42"/>
    <mergeCell ref="AB42:AD42"/>
    <mergeCell ref="AG42:AJ42"/>
    <mergeCell ref="AM43:AP43"/>
    <mergeCell ref="AQ43:AR43"/>
    <mergeCell ref="AQ41:AR41"/>
    <mergeCell ref="B41:D41"/>
    <mergeCell ref="E41:F41"/>
    <mergeCell ref="G41:H41"/>
    <mergeCell ref="S41:U41"/>
    <mergeCell ref="AB40:AD40"/>
    <mergeCell ref="AG40:AJ40"/>
    <mergeCell ref="B40:D40"/>
    <mergeCell ref="E40:F40"/>
    <mergeCell ref="G40:H40"/>
    <mergeCell ref="Z39:AA39"/>
    <mergeCell ref="W38:X38"/>
    <mergeCell ref="AF4:AF7"/>
    <mergeCell ref="AG4:AG7"/>
    <mergeCell ref="AO4:AR4"/>
    <mergeCell ref="R40:S40"/>
    <mergeCell ref="T40:V40"/>
    <mergeCell ref="Z40:AA40"/>
    <mergeCell ref="B39:D39"/>
    <mergeCell ref="E39:F39"/>
    <mergeCell ref="G39:H39"/>
    <mergeCell ref="J39:N39"/>
    <mergeCell ref="R39:S39"/>
    <mergeCell ref="T39:V39"/>
    <mergeCell ref="Z6:Z7"/>
    <mergeCell ref="X6:X7"/>
    <mergeCell ref="B6:B7"/>
    <mergeCell ref="C6:C7"/>
    <mergeCell ref="D6:D7"/>
    <mergeCell ref="E6:E7"/>
    <mergeCell ref="F6:G6"/>
    <mergeCell ref="H6:I6"/>
    <mergeCell ref="O7:P7"/>
    <mergeCell ref="AV4:AV7"/>
    <mergeCell ref="AW4:AW7"/>
    <mergeCell ref="AH5:AJ5"/>
    <mergeCell ref="AK5:AN5"/>
    <mergeCell ref="AS4:AS7"/>
    <mergeCell ref="AT4:AT7"/>
    <mergeCell ref="AU4:AU7"/>
    <mergeCell ref="D4:G4"/>
    <mergeCell ref="J4:L4"/>
    <mergeCell ref="AB4:AB7"/>
    <mergeCell ref="AC4:AC7"/>
    <mergeCell ref="AD4:AD7"/>
    <mergeCell ref="AE4:AE7"/>
    <mergeCell ref="J6:K6"/>
    <mergeCell ref="R3:S3"/>
    <mergeCell ref="L6:N6"/>
    <mergeCell ref="O6:P6"/>
    <mergeCell ref="Q6:T6"/>
    <mergeCell ref="D2:G2"/>
    <mergeCell ref="I2:L2"/>
    <mergeCell ref="N2:Q2"/>
    <mergeCell ref="R2:S2"/>
    <mergeCell ref="D3:G3"/>
    <mergeCell ref="J3:L3"/>
    <mergeCell ref="N3:Q3"/>
  </mergeCells>
  <conditionalFormatting sqref="B8:AA37">
    <cfRule type="expression" dxfId="21" priority="4" stopIfTrue="1">
      <formula>OR($B8="Sa",$B8="Di",$D8="Jour férié semaine",$D8="Jour de pont")</formula>
    </cfRule>
  </conditionalFormatting>
  <conditionalFormatting sqref="Y8:AA37">
    <cfRule type="expression" dxfId="20" priority="1" stopIfTrue="1">
      <formula>OR($B8="Za",$B8="Zo",$D8="Feestdag week",$D8="Brugdag")</formula>
    </cfRule>
  </conditionalFormatting>
  <dataValidations count="3">
    <dataValidation type="list" allowBlank="1" showInputMessage="1" showErrorMessage="1" sqref="D8:D37" xr:uid="{00000000-0002-0000-0400-000000000000}">
      <formula1>$AX$8:$AX$29</formula1>
    </dataValidation>
    <dataValidation type="list" allowBlank="1" showInputMessage="1" showErrorMessage="1" sqref="R2:R3 F46" xr:uid="{00000000-0002-0000-0400-000001000000}">
      <formula1>"Oui,Non"</formula1>
    </dataValidation>
    <dataValidation type="list" allowBlank="1" showInputMessage="1" showErrorMessage="1" sqref="E8:E37" xr:uid="{00000000-0002-0000-0400-000002000000}">
      <formula1>"M,E,ME"</formula1>
    </dataValidation>
  </dataValidations>
  <pageMargins left="0.7" right="0.7" top="0.75" bottom="0.75" header="0.3" footer="0.3"/>
  <pageSetup paperSize="9" scale="72" fitToWidth="0"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BF131"/>
  <sheetViews>
    <sheetView workbookViewId="0">
      <selection activeCell="D8" sqref="D8"/>
    </sheetView>
  </sheetViews>
  <sheetFormatPr defaultRowHeight="12.75" customHeight="1" x14ac:dyDescent="0.2"/>
  <cols>
    <col min="1" max="1" width="1.42578125" style="17" customWidth="1"/>
    <col min="2" max="2" width="4" style="19" customWidth="1"/>
    <col min="3" max="3" width="6.85546875" style="17" customWidth="1"/>
    <col min="4" max="4" width="17.7109375" style="17" customWidth="1"/>
    <col min="5" max="5" width="4.42578125" style="17" customWidth="1"/>
    <col min="6" max="7" width="5.140625" style="37" customWidth="1"/>
    <col min="8" max="11" width="5.140625" style="17" customWidth="1"/>
    <col min="12" max="12" width="5.7109375" style="19" customWidth="1"/>
    <col min="13" max="13" width="6.28515625" style="19" customWidth="1"/>
    <col min="14" max="14" width="6.140625" style="18" customWidth="1"/>
    <col min="15" max="15" width="2.42578125" style="18" customWidth="1"/>
    <col min="16" max="16" width="6.42578125" style="17" customWidth="1"/>
    <col min="17" max="20" width="2.85546875" style="17" customWidth="1"/>
    <col min="21" max="21" width="5.7109375" style="17" customWidth="1"/>
    <col min="22" max="23" width="7.42578125" style="17" customWidth="1"/>
    <col min="24" max="24" width="7.7109375" style="17" customWidth="1"/>
    <col min="25" max="25" width="5.28515625" style="141" customWidth="1"/>
    <col min="26" max="26" width="6.42578125" style="141" customWidth="1"/>
    <col min="27" max="27" width="7.7109375" style="141" customWidth="1"/>
    <col min="28" max="28" width="7.85546875" style="141" hidden="1" customWidth="1"/>
    <col min="29" max="32" width="12.42578125" style="141" hidden="1" customWidth="1"/>
    <col min="33" max="33" width="8" style="141" hidden="1" customWidth="1"/>
    <col min="34" max="34" width="9.140625" style="141" hidden="1" customWidth="1"/>
    <col min="35" max="45" width="7.7109375" style="141" hidden="1" customWidth="1"/>
    <col min="46" max="48" width="12.140625" style="141" hidden="1" customWidth="1"/>
    <col min="49" max="51" width="9.85546875" style="141" hidden="1" customWidth="1"/>
    <col min="52" max="256" width="11.42578125" style="17" customWidth="1"/>
    <col min="257" max="16384" width="9.140625" style="17"/>
  </cols>
  <sheetData>
    <row r="1" spans="1:58" ht="5.25" customHeight="1" x14ac:dyDescent="0.2"/>
    <row r="2" spans="1:58" ht="12.75" customHeight="1" x14ac:dyDescent="0.2">
      <c r="D2" s="455" t="str">
        <f>CONCATENATE("Utilisateur: ",Configuration!H17)</f>
        <v xml:space="preserve">Utilisateur: </v>
      </c>
      <c r="E2" s="455"/>
      <c r="F2" s="455"/>
      <c r="G2" s="455"/>
      <c r="I2" s="456" t="s">
        <v>174</v>
      </c>
      <c r="J2" s="438"/>
      <c r="K2" s="438"/>
      <c r="L2" s="438"/>
      <c r="M2" s="18"/>
      <c r="N2" s="456" t="s">
        <v>177</v>
      </c>
      <c r="O2" s="438"/>
      <c r="P2" s="438"/>
      <c r="Q2" s="438"/>
      <c r="R2" s="439" t="s">
        <v>179</v>
      </c>
      <c r="S2" s="439"/>
      <c r="T2" s="20"/>
    </row>
    <row r="3" spans="1:58" ht="12.75" customHeight="1" x14ac:dyDescent="0.2">
      <c r="D3" s="440" t="str">
        <f>Configuration!G8</f>
        <v>OTT Tool 2024</v>
      </c>
      <c r="E3" s="440"/>
      <c r="F3" s="440"/>
      <c r="G3" s="440"/>
      <c r="I3" s="26"/>
      <c r="J3" s="438" t="s">
        <v>175</v>
      </c>
      <c r="K3" s="438"/>
      <c r="L3" s="438"/>
      <c r="M3" s="45">
        <f>IF(Fev!$F$46="Oui",Fev!F50,0)</f>
        <v>0</v>
      </c>
      <c r="N3" s="456" t="s">
        <v>178</v>
      </c>
      <c r="O3" s="438"/>
      <c r="P3" s="438"/>
      <c r="Q3" s="438"/>
      <c r="R3" s="439" t="s">
        <v>180</v>
      </c>
      <c r="S3" s="439"/>
      <c r="T3" s="20"/>
    </row>
    <row r="4" spans="1:58" ht="12.75" customHeight="1" x14ac:dyDescent="0.2">
      <c r="D4" s="440" t="s">
        <v>173</v>
      </c>
      <c r="E4" s="440"/>
      <c r="F4" s="440"/>
      <c r="G4" s="440"/>
      <c r="I4" s="20"/>
      <c r="J4" s="438" t="s">
        <v>176</v>
      </c>
      <c r="K4" s="438"/>
      <c r="L4" s="438"/>
      <c r="M4" s="45">
        <f>IF(Fev!$F$46="Oui",Fev!F51,Fev!M4)</f>
        <v>0</v>
      </c>
      <c r="N4" s="21"/>
      <c r="O4" s="19"/>
      <c r="Q4" s="18"/>
      <c r="T4" s="20"/>
      <c r="AB4" s="443" t="s">
        <v>259</v>
      </c>
      <c r="AC4" s="432" t="s">
        <v>160</v>
      </c>
      <c r="AD4" s="432" t="s">
        <v>255</v>
      </c>
      <c r="AE4" s="432" t="s">
        <v>166</v>
      </c>
      <c r="AF4" s="454" t="s">
        <v>168</v>
      </c>
      <c r="AG4" s="429" t="s">
        <v>45</v>
      </c>
      <c r="AJ4" s="121"/>
      <c r="AO4" s="426" t="s">
        <v>48</v>
      </c>
      <c r="AP4" s="427"/>
      <c r="AQ4" s="427"/>
      <c r="AR4" s="428"/>
      <c r="AS4" s="430" t="s">
        <v>52</v>
      </c>
      <c r="AT4" s="431" t="s">
        <v>53</v>
      </c>
      <c r="AU4" s="431" t="s">
        <v>60</v>
      </c>
      <c r="AV4" s="418" t="s">
        <v>62</v>
      </c>
      <c r="AW4" s="432" t="s">
        <v>63</v>
      </c>
    </row>
    <row r="5" spans="1:58" ht="12.75" customHeight="1" x14ac:dyDescent="0.2">
      <c r="B5" s="35"/>
      <c r="AB5" s="443"/>
      <c r="AC5" s="432"/>
      <c r="AD5" s="432"/>
      <c r="AE5" s="432"/>
      <c r="AF5" s="454"/>
      <c r="AG5" s="429"/>
      <c r="AH5" s="426" t="s">
        <v>47</v>
      </c>
      <c r="AI5" s="427"/>
      <c r="AJ5" s="428"/>
      <c r="AK5" s="426" t="s">
        <v>46</v>
      </c>
      <c r="AL5" s="427"/>
      <c r="AM5" s="427"/>
      <c r="AN5" s="428"/>
      <c r="AO5" s="105" t="s">
        <v>49</v>
      </c>
      <c r="AP5" s="94" t="s">
        <v>50</v>
      </c>
      <c r="AQ5" s="94" t="s">
        <v>51</v>
      </c>
      <c r="AR5" s="112" t="s">
        <v>46</v>
      </c>
      <c r="AS5" s="430"/>
      <c r="AT5" s="431"/>
      <c r="AU5" s="431"/>
      <c r="AV5" s="418"/>
      <c r="AW5" s="432"/>
    </row>
    <row r="6" spans="1:58" ht="12.75" customHeight="1" x14ac:dyDescent="0.2">
      <c r="A6" s="34"/>
      <c r="B6" s="419" t="s">
        <v>181</v>
      </c>
      <c r="C6" s="421" t="s">
        <v>182</v>
      </c>
      <c r="D6" s="421" t="s">
        <v>183</v>
      </c>
      <c r="E6" s="423" t="s">
        <v>184</v>
      </c>
      <c r="F6" s="446" t="s">
        <v>111</v>
      </c>
      <c r="G6" s="447"/>
      <c r="H6" s="433" t="s">
        <v>111</v>
      </c>
      <c r="I6" s="434"/>
      <c r="J6" s="433" t="s">
        <v>111</v>
      </c>
      <c r="K6" s="434"/>
      <c r="L6" s="433" t="s">
        <v>185</v>
      </c>
      <c r="M6" s="435"/>
      <c r="N6" s="434"/>
      <c r="O6" s="436" t="s">
        <v>41</v>
      </c>
      <c r="P6" s="437"/>
      <c r="Q6" s="433" t="s">
        <v>189</v>
      </c>
      <c r="R6" s="435"/>
      <c r="S6" s="435"/>
      <c r="T6" s="434"/>
      <c r="U6" s="27" t="s">
        <v>190</v>
      </c>
      <c r="V6" s="27" t="s">
        <v>191</v>
      </c>
      <c r="W6" s="27" t="s">
        <v>191</v>
      </c>
      <c r="X6" s="444" t="s">
        <v>192</v>
      </c>
      <c r="Y6" s="137" t="s">
        <v>195</v>
      </c>
      <c r="Z6" s="421" t="s">
        <v>245</v>
      </c>
      <c r="AA6" s="137" t="s">
        <v>246</v>
      </c>
      <c r="AB6" s="443"/>
      <c r="AC6" s="432"/>
      <c r="AD6" s="432"/>
      <c r="AE6" s="432"/>
      <c r="AF6" s="454"/>
      <c r="AG6" s="429"/>
      <c r="AH6" s="102">
        <v>0.79166666666666663</v>
      </c>
      <c r="AI6" s="100">
        <v>0</v>
      </c>
      <c r="AJ6" s="104">
        <v>0.79166666666666663</v>
      </c>
      <c r="AK6" s="120">
        <v>0.91666666666666663</v>
      </c>
      <c r="AL6" s="100">
        <v>0</v>
      </c>
      <c r="AM6" s="96">
        <v>0.79166666666666663</v>
      </c>
      <c r="AN6" s="104">
        <v>0.91666666666666663</v>
      </c>
      <c r="AO6" s="113">
        <v>0.25</v>
      </c>
      <c r="AP6" s="114">
        <v>0.5</v>
      </c>
      <c r="AQ6" s="114">
        <v>0.75</v>
      </c>
      <c r="AR6" s="115">
        <v>0</v>
      </c>
      <c r="AS6" s="430"/>
      <c r="AT6" s="431"/>
      <c r="AU6" s="431"/>
      <c r="AV6" s="418"/>
      <c r="AW6" s="432"/>
      <c r="AZ6" s="22"/>
      <c r="BA6" s="23"/>
    </row>
    <row r="7" spans="1:58" ht="12.75" customHeight="1" x14ac:dyDescent="0.2">
      <c r="A7" s="34"/>
      <c r="B7" s="420"/>
      <c r="C7" s="422"/>
      <c r="D7" s="422"/>
      <c r="E7" s="424"/>
      <c r="F7" s="38" t="s">
        <v>112</v>
      </c>
      <c r="G7" s="39" t="s">
        <v>113</v>
      </c>
      <c r="H7" s="28" t="s">
        <v>112</v>
      </c>
      <c r="I7" s="139" t="s">
        <v>113</v>
      </c>
      <c r="J7" s="28" t="s">
        <v>112</v>
      </c>
      <c r="K7" s="139" t="s">
        <v>113</v>
      </c>
      <c r="L7" s="28" t="s">
        <v>186</v>
      </c>
      <c r="M7" s="29" t="s">
        <v>187</v>
      </c>
      <c r="N7" s="139" t="s">
        <v>44</v>
      </c>
      <c r="O7" s="441" t="s">
        <v>188</v>
      </c>
      <c r="P7" s="442"/>
      <c r="Q7" s="31" t="s">
        <v>198</v>
      </c>
      <c r="R7" s="32" t="s">
        <v>42</v>
      </c>
      <c r="S7" s="32" t="s">
        <v>199</v>
      </c>
      <c r="T7" s="140" t="s">
        <v>200</v>
      </c>
      <c r="U7" s="30" t="s">
        <v>43</v>
      </c>
      <c r="V7" s="33" t="s">
        <v>193</v>
      </c>
      <c r="W7" s="33" t="s">
        <v>194</v>
      </c>
      <c r="X7" s="445"/>
      <c r="Y7" s="138" t="s">
        <v>196</v>
      </c>
      <c r="Z7" s="422"/>
      <c r="AA7" s="138" t="s">
        <v>247</v>
      </c>
      <c r="AB7" s="443"/>
      <c r="AC7" s="432"/>
      <c r="AD7" s="432"/>
      <c r="AE7" s="432"/>
      <c r="AF7" s="454"/>
      <c r="AG7" s="429"/>
      <c r="AH7" s="102">
        <v>1</v>
      </c>
      <c r="AI7" s="100">
        <v>0.29166666666666669</v>
      </c>
      <c r="AJ7" s="104">
        <v>0.29166666666666669</v>
      </c>
      <c r="AK7" s="102">
        <v>1</v>
      </c>
      <c r="AL7" s="99">
        <v>0.25</v>
      </c>
      <c r="AM7" s="95">
        <v>0.91666666666666663</v>
      </c>
      <c r="AN7" s="103">
        <v>0.25</v>
      </c>
      <c r="AO7" s="106">
        <v>0.33333333333333331</v>
      </c>
      <c r="AP7" s="96">
        <v>0.58333333333333337</v>
      </c>
      <c r="AQ7" s="96">
        <v>0.83333333333333337</v>
      </c>
      <c r="AR7" s="104">
        <v>8.3333333333333329E-2</v>
      </c>
      <c r="AS7" s="430"/>
      <c r="AT7" s="431"/>
      <c r="AU7" s="431"/>
      <c r="AV7" s="418"/>
      <c r="AW7" s="432"/>
      <c r="AZ7" s="22" t="s">
        <v>197</v>
      </c>
      <c r="BA7" s="23"/>
    </row>
    <row r="8" spans="1:58" ht="12.75" customHeight="1" x14ac:dyDescent="0.2">
      <c r="A8" s="34"/>
      <c r="B8" s="59" t="str">
        <f t="shared" ref="B8:B38" si="0">CHOOSE(WEEKDAY(C8),"Di","Lu","Ma","Me","Je","Ve","Sa")</f>
        <v>Ve</v>
      </c>
      <c r="C8" s="60">
        <f>DATE(RIGHT(Configuration!$G$8,4),3,1)</f>
        <v>45352</v>
      </c>
      <c r="D8" s="61"/>
      <c r="E8" s="62"/>
      <c r="F8" s="63"/>
      <c r="G8" s="64"/>
      <c r="H8" s="63"/>
      <c r="I8" s="64"/>
      <c r="J8" s="63"/>
      <c r="K8" s="64"/>
      <c r="L8" s="40">
        <f t="shared" ref="L8:L38" si="1">(G8-F8)+(I8-H8)+(K8-J8)+SUM(AB8,AC8,AD8,AE8,AF8,AG8)</f>
        <v>0</v>
      </c>
      <c r="M8" s="65">
        <f>L8+M3+IF(Fev!F46="Non",Fev!M36,0)</f>
        <v>0</v>
      </c>
      <c r="N8" s="66">
        <f>IF(AND(D8&lt;&gt;"Jour libre 4/5",B8&lt;&gt;"Sa",B8&lt;&gt;"Di"),SUM(N7,Configuration!$H$41),SUM(N7))+IF(Fev!F46="Non",Fev!N36,0)</f>
        <v>0.31666666666666665</v>
      </c>
      <c r="O8" s="48" t="str">
        <f>IF(M8-N8-$M$4&gt;=0,"+","-")</f>
        <v>-</v>
      </c>
      <c r="P8" s="67">
        <f>ABS(M8-N8-$M$4)</f>
        <v>0.31666666666666665</v>
      </c>
      <c r="Q8" s="164">
        <f>AO8</f>
        <v>0</v>
      </c>
      <c r="R8" s="165">
        <f>AP8</f>
        <v>0</v>
      </c>
      <c r="S8" s="165">
        <f>AQ8</f>
        <v>0</v>
      </c>
      <c r="T8" s="166">
        <f>AR8</f>
        <v>0</v>
      </c>
      <c r="U8" s="93">
        <f t="shared" ref="U8:U38" si="2">IF(OR(AND(D8="Jour férié semaine",((G8-F8)+(I8-H8)+(K8-J8&gt;0))),B8="Sa",B8="Di"),L8,0)</f>
        <v>0</v>
      </c>
      <c r="V8" s="93">
        <f t="shared" ref="V8:V38" si="3">IF($R$2="Oui",AM8,0)</f>
        <v>0</v>
      </c>
      <c r="W8" s="93">
        <f t="shared" ref="W8:W38" si="4">IF($R$2="Oui",AN8,0)</f>
        <v>0</v>
      </c>
      <c r="X8" s="93">
        <f t="shared" ref="X8:X38" si="5">IF($R$3="Oui",AJ8,0)</f>
        <v>0</v>
      </c>
      <c r="Y8" s="207"/>
      <c r="Z8" s="208"/>
      <c r="AA8" s="208"/>
      <c r="AB8" s="128">
        <f>IF(AND(D8="Jour férié semaine",((G8-F8)+(I8-H8)+(K8-J8)=0)),VLOOKUP(D8,Systeemgegevens!$J:$K,2,FALSE),0)</f>
        <v>0</v>
      </c>
      <c r="AC8" s="43">
        <f>IF(AND(NOT(ISERROR(FIND("Congé",D8))),ISERROR(FIND("1/2",D8)),ISERROR(FIND("Synd",D8)),ISERROR(FIND("synd",D8)),(G8-F8+I8-H8+K8-J8)=0),VLOOKUP(D8,Systeemgegevens!$J:$K,2,FALSE),IF(AND(NOT(ISERROR(FIND("1/2 Congé + ",D8))),(G8-F8+I8-H8+K8-J8)=0),VLOOKUP(D8,Systeemgegevens!$J:$K,2,FALSE)/2,IF(AND(NOT(ISERROR(FIND("1/2 Congé",D8))),ISERROR(FIND(" + ",D8)),ISERROR(FIND("1/2 Congé Synd.",D8))),VLOOKUP(D8,Systeemgegevens!$J:$K,2,FALSE),0)))</f>
        <v>0</v>
      </c>
      <c r="AD8" s="43">
        <f>IF(AND(OR(D8="1/2 Congé Synd.",D8="Congé Synd."),((G8-F8)+(I8-H8)+(K8-J8)=0)),VLOOKUP(D8,Systeemgegevens!$J:$K,2,FALSE),IF(AND(D8="1/2 Congé + 1/2 synd.",((G8-F8)+(I8-H8)+(K8-J8)=0)),AC8,0))</f>
        <v>0</v>
      </c>
      <c r="AE8" s="43">
        <f>IF(AND(D8="Jour de pont",((G8-F8)+(I8-H8)+(K8-J8)=0)),VLOOKUP(D8,Systeemgegevens!$J:$K,2,FALSE),0)</f>
        <v>0</v>
      </c>
      <c r="AF8" s="43">
        <f>IF(AND(D8="Jour libre 4/5",AND((G8-F8)+(I8-H8)+(K8-J8)=0)),VLOOKUP(D8,Systeemgegevens!$J:$K,2,FALSE),0)</f>
        <v>0</v>
      </c>
      <c r="AG8" s="118">
        <f>IF(AND(D8&lt;&gt;"",SUM(AB8:AF8)=0,D8&lt;&gt;$AB$4,D8&lt;&gt;$AC$4,D8&lt;&gt;$AD$4,D8&lt;&gt;$AE$4,D8&lt;&gt;$AF$4),VLOOKUP(D8,Systeemgegevens!$J:$K,2,FALSE),0)</f>
        <v>0</v>
      </c>
      <c r="AH8" s="119">
        <f t="shared" ref="AH8:AH38" si="6">SUM(IF(AND(G8&gt;$AH$6,F8&lt;=$AH$6),G8-$AH$6,0),IF(F8&gt;$AH$6,G8-F8,0),IF(AND(I8&gt;$AH$6,H8&lt;=$AH$6),I8-$AH$6,0),IF(H8&gt;$AH$6,I8-H8,0),IF(AND(K8&gt;$AH$6,J8&lt;=$AH$6),K8-$AH$6,0),IF(J8&gt;$AH$6,K8-J8,0))</f>
        <v>0</v>
      </c>
      <c r="AI8" s="101">
        <f t="shared" ref="AI8:AI38" si="7">SUM(IF(AND(G8&gt;=$AI$7,F8&lt;$AI$7),$AI$7-F8,0),IF(G8&lt;$AI$7,G8-F8,0),IF(AND(I8&gt;=$AI$7,H8&lt;$AI$7),$AI$7-H8,0),IF(I8&lt;$AI$7,I8-H8,0),IF(AND(K8&gt;=$AI$7,J8&lt;$AI$7),$AI$7-J8,0),IF(K8&lt;$AI$7,K8-J8,0))</f>
        <v>0</v>
      </c>
      <c r="AJ8" s="118">
        <f>SUM(AH8:AI8)</f>
        <v>0</v>
      </c>
      <c r="AK8" s="119">
        <f t="shared" ref="AK8:AK38" si="8">SUM(IF(AND(G8&gt;$AK$6,F8&lt;=$AK$6),G8-$AK$6,0),IF(F8&gt;$AK$6,G8-F8,0),IF(AND(I8&gt;$AK$6,H8&lt;=$AK$6),I8-$AK$6,0),IF(H8&gt;$AK$6,I8-H8,0),IF(AND(K8&gt;$AK$6,J8&lt;=$AK$6),K8-$AK$6,0),IF(J8&gt;$AK$6,K8-J8,0))</f>
        <v>0</v>
      </c>
      <c r="AL8" s="101">
        <f t="shared" ref="AL8:AL38" si="9">SUM(IF(AND(G8&gt;=$AL$7,F8&lt;$AL$7),$AL$7-F8,0),IF(G8&lt;$AL$7,G8-F8,0),IF(AND(I8&gt;=$AL$7,H8&lt;$AL$7),$AL$7-H8,0),IF(I8&lt;$AL$7,I8-H8,0),IF(AND(K8&gt;=$AL$7,J8&lt;$AL$7),$AL$7-J8,0),IF(K8&lt;$AL$7,K8-J8,0))</f>
        <v>0</v>
      </c>
      <c r="AM8" s="43">
        <f>AH8-AK8</f>
        <v>0</v>
      </c>
      <c r="AN8" s="118">
        <f>AK8+AL8</f>
        <v>0</v>
      </c>
      <c r="AO8" s="122">
        <f t="shared" ref="AO8:AO38" si="10">SUM(IF(AND(F8&lt;=$AO$6,G8&gt;=$AO$7),1,0),IF(AND(H8&lt;=$AO$6,I8&gt;=$AO$7),1,0),IF(AND(J8&lt;=$AO$6,K8&gt;=$AO$7),1,0))</f>
        <v>0</v>
      </c>
      <c r="AP8" s="107">
        <f t="shared" ref="AP8:AP38" si="11">SUM(IF(AND(F8&lt;=$AP$6,G8&gt;=$AP$7),1,0),IF(AND(H8&lt;=$AP$6,I8&gt;=$AP$7),1,0),IF(AND(J8&lt;=$AP$6,K8&gt;=$AP$7),1,0))</f>
        <v>0</v>
      </c>
      <c r="AQ8" s="107">
        <f t="shared" ref="AQ8:AQ38" si="12">SUM(IF(AND(F8&lt;=$AQ$6,G8&gt;=$AQ$7),1,0),IF(AND(H8&lt;=$AQ$6,I8&gt;=$AQ$7),1,0),IF(AND(J8&lt;=$AQ$6,K8&gt;=$AQ$7),1,0))</f>
        <v>0</v>
      </c>
      <c r="AR8" s="123">
        <f t="shared" ref="AR8:AR38" si="13">SUM(IF(AND(F8&lt;=$AR$6,G8&gt;=$AR$7),1,0),IF(AND(H8&lt;=$AR$6,I8&gt;=$AR$7),1,0),IF(AND(J8&lt;=$AR$6,K8&gt;=$AR$7),1,0))</f>
        <v>0</v>
      </c>
      <c r="AS8" s="124">
        <f t="shared" ref="AS8:AS38" si="14">IF(OR(E8="M",E8="ME"),1,0)</f>
        <v>0</v>
      </c>
      <c r="AT8" s="124">
        <f t="shared" ref="AT8:AT38" si="15">IF(OR(E8="E",E8="ME"),1,0)</f>
        <v>0</v>
      </c>
      <c r="AU8" s="124">
        <f t="shared" ref="AU8:AU38" si="16">IF(AND(OR(D8="Jour férié semaine",D8="Jour de pont"),((G8-F8)+(I8-H8)+(K8-J8)&gt;0)),1,0)</f>
        <v>0</v>
      </c>
      <c r="AV8" s="117" t="s">
        <v>36</v>
      </c>
      <c r="AW8" s="129">
        <f>IF(($R$41=AV8)*AND($R$42&lt;&gt;""),VLOOKUP($R$42,'Barèmes police'!$B$4:$C$30,2),0)</f>
        <v>14703.88</v>
      </c>
      <c r="AX8" s="15"/>
      <c r="AY8" s="14"/>
      <c r="AZ8" s="269"/>
      <c r="BA8" s="154"/>
      <c r="BB8" s="154"/>
      <c r="BC8" s="154"/>
      <c r="BD8" s="154"/>
      <c r="BE8" s="154"/>
      <c r="BF8" s="154"/>
    </row>
    <row r="9" spans="1:58" ht="12.75" customHeight="1" x14ac:dyDescent="0.2">
      <c r="A9" s="34"/>
      <c r="B9" s="24" t="str">
        <f t="shared" si="0"/>
        <v>Sa</v>
      </c>
      <c r="C9" s="25">
        <f>C8+1</f>
        <v>45353</v>
      </c>
      <c r="D9" s="51"/>
      <c r="E9" s="116"/>
      <c r="F9" s="52"/>
      <c r="G9" s="53"/>
      <c r="H9" s="52"/>
      <c r="I9" s="53"/>
      <c r="J9" s="54"/>
      <c r="K9" s="55"/>
      <c r="L9" s="40">
        <f t="shared" si="1"/>
        <v>0</v>
      </c>
      <c r="M9" s="41">
        <f>M8+L9</f>
        <v>0</v>
      </c>
      <c r="N9" s="42">
        <f>IF(AND(D9&lt;&gt;"Jour libre 4/5",B9&lt;&gt;"Sa",B9&lt;&gt;"Di"),SUM(N8,Configuration!$H$41),SUM(N8))</f>
        <v>0.31666666666666665</v>
      </c>
      <c r="O9" s="49" t="str">
        <f>IF(M9-N9-$M$4&gt;=0,"+","-")</f>
        <v>-</v>
      </c>
      <c r="P9" s="143">
        <f t="shared" ref="P9:P38" si="17">ABS(M9-N9-$M$4)</f>
        <v>0.31666666666666665</v>
      </c>
      <c r="Q9" s="167">
        <f t="shared" ref="Q9:T38" si="18">AO9</f>
        <v>0</v>
      </c>
      <c r="R9" s="168">
        <f t="shared" si="18"/>
        <v>0</v>
      </c>
      <c r="S9" s="168">
        <f t="shared" si="18"/>
        <v>0</v>
      </c>
      <c r="T9" s="169">
        <f t="shared" si="18"/>
        <v>0</v>
      </c>
      <c r="U9" s="97">
        <f t="shared" si="2"/>
        <v>0</v>
      </c>
      <c r="V9" s="97">
        <f t="shared" si="3"/>
        <v>0</v>
      </c>
      <c r="W9" s="97">
        <f t="shared" si="4"/>
        <v>0</v>
      </c>
      <c r="X9" s="97">
        <f t="shared" si="5"/>
        <v>0</v>
      </c>
      <c r="Y9" s="209"/>
      <c r="Z9" s="210"/>
      <c r="AA9" s="210"/>
      <c r="AB9" s="128">
        <f>IF(AND(D9="Jour férié semaine",((G9-F9)+(I9-H9)+(K9-J9)=0)),VLOOKUP(D9,Systeemgegevens!$J:$K,2,FALSE),0)</f>
        <v>0</v>
      </c>
      <c r="AC9" s="43">
        <f>IF(AND(NOT(ISERROR(FIND("Congé",D9))),ISERROR(FIND("1/2",D9)),ISERROR(FIND("Synd",D9)),ISERROR(FIND("synd",D9)),(G9-F9+I9-H9+K9-J9)=0),VLOOKUP(D9,Systeemgegevens!$J:$K,2,FALSE),IF(AND(NOT(ISERROR(FIND("1/2 Congé + ",D9))),(G9-F9+I9-H9+K9-J9)=0),VLOOKUP(D9,Systeemgegevens!$J:$K,2,FALSE)/2,IF(AND(NOT(ISERROR(FIND("1/2 Congé",D9))),ISERROR(FIND(" + ",D9)),ISERROR(FIND("1/2 Congé Synd.",D9))),VLOOKUP(D9,Systeemgegevens!$J:$K,2,FALSE),0)))</f>
        <v>0</v>
      </c>
      <c r="AD9" s="43">
        <f>IF(AND(OR(D9="1/2 Congé Synd.",D9="Congé Synd."),((G9-F9)+(I9-H9)+(K9-J9)=0)),VLOOKUP(D9,Systeemgegevens!$J:$K,2,FALSE),IF(AND(D9="1/2 Congé + 1/2 synd.",((G9-F9)+(I9-H9)+(K9-J9)=0)),AC9,0))</f>
        <v>0</v>
      </c>
      <c r="AE9" s="43">
        <f>IF(AND(D9="Jour de pont",((G9-F9)+(I9-H9)+(K9-J9)=0)),VLOOKUP(D9,Systeemgegevens!$J:$K,2,FALSE),0)</f>
        <v>0</v>
      </c>
      <c r="AF9" s="43">
        <f>IF(AND(D9="Jour libre 4/5",AND((G9-F9)+(I9-H9)+(K9-J9)=0)),VLOOKUP(D9,Systeemgegevens!$J:$K,2,FALSE),0)</f>
        <v>0</v>
      </c>
      <c r="AG9" s="118">
        <f>IF(AND(D9&lt;&gt;"",SUM(AB9:AF9)=0,D9&lt;&gt;$AB$4,D9&lt;&gt;$AC$4,D9&lt;&gt;$AE$4,D9&lt;&gt;$AF$4),VLOOKUP(D9,Systeemgegevens!$J:$K,2,FALSE),0)</f>
        <v>0</v>
      </c>
      <c r="AH9" s="119">
        <f t="shared" si="6"/>
        <v>0</v>
      </c>
      <c r="AI9" s="101">
        <f t="shared" si="7"/>
        <v>0</v>
      </c>
      <c r="AJ9" s="118">
        <f t="shared" ref="AJ9:AJ38" si="19">SUM(AH9:AI9)</f>
        <v>0</v>
      </c>
      <c r="AK9" s="119">
        <f t="shared" si="8"/>
        <v>0</v>
      </c>
      <c r="AL9" s="101">
        <f t="shared" si="9"/>
        <v>0</v>
      </c>
      <c r="AM9" s="43">
        <f t="shared" ref="AM9:AM38" si="20">AH9-AK9</f>
        <v>0</v>
      </c>
      <c r="AN9" s="118">
        <f t="shared" ref="AN9:AN38" si="21">AK9+AL9</f>
        <v>0</v>
      </c>
      <c r="AO9" s="122">
        <f t="shared" si="10"/>
        <v>0</v>
      </c>
      <c r="AP9" s="107">
        <f t="shared" si="11"/>
        <v>0</v>
      </c>
      <c r="AQ9" s="107">
        <f t="shared" si="12"/>
        <v>0</v>
      </c>
      <c r="AR9" s="123">
        <f t="shared" si="13"/>
        <v>0</v>
      </c>
      <c r="AS9" s="124">
        <f t="shared" si="14"/>
        <v>0</v>
      </c>
      <c r="AT9" s="124">
        <f t="shared" si="15"/>
        <v>0</v>
      </c>
      <c r="AU9" s="124">
        <f t="shared" si="16"/>
        <v>0</v>
      </c>
      <c r="AV9" s="117" t="s">
        <v>35</v>
      </c>
      <c r="AW9" s="129">
        <f>IF(($R$41=AV9)*AND($R$42&lt;&gt;""),VLOOKUP($R$42,'Barèmes police'!$E$4:$F$30,2),0)</f>
        <v>0</v>
      </c>
      <c r="AX9" s="16" t="str">
        <f>IF('Types de jours'!F15&lt;&gt;"",'Types de jours'!F15,"")</f>
        <v>Congé</v>
      </c>
      <c r="AY9" s="144">
        <f>IF(AX9&lt;&gt;"",'Types de jours'!I15,"")</f>
        <v>0.31666666666666665</v>
      </c>
      <c r="AZ9" s="269"/>
      <c r="BA9" s="154"/>
      <c r="BB9" s="154"/>
      <c r="BC9" s="154"/>
      <c r="BD9" s="154"/>
      <c r="BE9" s="154"/>
      <c r="BF9" s="154"/>
    </row>
    <row r="10" spans="1:58" ht="12.75" customHeight="1" x14ac:dyDescent="0.2">
      <c r="A10" s="34"/>
      <c r="B10" s="24" t="str">
        <f t="shared" si="0"/>
        <v>Di</v>
      </c>
      <c r="C10" s="25">
        <f t="shared" ref="C10:C38" si="22">C9+1</f>
        <v>45354</v>
      </c>
      <c r="D10" s="51"/>
      <c r="E10" s="116"/>
      <c r="F10" s="52"/>
      <c r="G10" s="53"/>
      <c r="H10" s="52"/>
      <c r="I10" s="53"/>
      <c r="J10" s="54"/>
      <c r="K10" s="55"/>
      <c r="L10" s="40">
        <f t="shared" si="1"/>
        <v>0</v>
      </c>
      <c r="M10" s="41">
        <f t="shared" ref="M10:M37" si="23">M9+L10</f>
        <v>0</v>
      </c>
      <c r="N10" s="42">
        <f>IF(AND(D10&lt;&gt;"Jour libre 4/5",B10&lt;&gt;"Sa",B10&lt;&gt;"Di"),SUM(N9,Configuration!$H$41),SUM(N9))</f>
        <v>0.31666666666666665</v>
      </c>
      <c r="O10" s="49" t="str">
        <f t="shared" ref="O10:O38" si="24">IF(M10-N10-$M$4&gt;=0,"+","-")</f>
        <v>-</v>
      </c>
      <c r="P10" s="143">
        <f t="shared" si="17"/>
        <v>0.31666666666666665</v>
      </c>
      <c r="Q10" s="167">
        <f t="shared" si="18"/>
        <v>0</v>
      </c>
      <c r="R10" s="168">
        <f t="shared" si="18"/>
        <v>0</v>
      </c>
      <c r="S10" s="168">
        <f t="shared" si="18"/>
        <v>0</v>
      </c>
      <c r="T10" s="169">
        <f t="shared" si="18"/>
        <v>0</v>
      </c>
      <c r="U10" s="97">
        <f t="shared" si="2"/>
        <v>0</v>
      </c>
      <c r="V10" s="97">
        <f t="shared" si="3"/>
        <v>0</v>
      </c>
      <c r="W10" s="97">
        <f t="shared" si="4"/>
        <v>0</v>
      </c>
      <c r="X10" s="97">
        <f t="shared" si="5"/>
        <v>0</v>
      </c>
      <c r="Y10" s="209"/>
      <c r="Z10" s="210"/>
      <c r="AA10" s="210"/>
      <c r="AB10" s="128">
        <f>IF(AND(D10="Jour férié semaine",((G10-F10)+(I10-H10)+(K10-J10)=0)),VLOOKUP(D10,Systeemgegevens!$J:$K,2,FALSE),0)</f>
        <v>0</v>
      </c>
      <c r="AC10" s="43">
        <f>IF(AND(NOT(ISERROR(FIND("Congé",D10))),ISERROR(FIND("1/2",D10)),ISERROR(FIND("Synd",D10)),ISERROR(FIND("synd",D10)),(G10-F10+I10-H10+K10-J10)=0),VLOOKUP(D10,Systeemgegevens!$J:$K,2,FALSE),IF(AND(NOT(ISERROR(FIND("1/2 Congé + ",D10))),(G10-F10+I10-H10+K10-J10)=0),VLOOKUP(D10,Systeemgegevens!$J:$K,2,FALSE)/2,IF(AND(NOT(ISERROR(FIND("1/2 Congé",D10))),ISERROR(FIND(" + ",D10)),ISERROR(FIND("1/2 Congé Synd.",D10))),VLOOKUP(D10,Systeemgegevens!$J:$K,2,FALSE),0)))</f>
        <v>0</v>
      </c>
      <c r="AD10" s="43">
        <f>IF(AND(OR(D10="1/2 Congé Synd.",D10="Congé Synd."),((G10-F10)+(I10-H10)+(K10-J10)=0)),VLOOKUP(D10,Systeemgegevens!$J:$K,2,FALSE),IF(AND(D10="1/2 Congé + 1/2 synd.",((G10-F10)+(I10-H10)+(K10-J10)=0)),AC10,0))</f>
        <v>0</v>
      </c>
      <c r="AE10" s="43">
        <f>IF(AND(D10="Jour de pont",((G10-F10)+(I10-H10)+(K10-J10)=0)),VLOOKUP(D10,Systeemgegevens!$J:$K,2,FALSE),0)</f>
        <v>0</v>
      </c>
      <c r="AF10" s="43">
        <f>IF(AND(D10="Jour libre 4/5",AND((G10-F10)+(I10-H10)+(K10-J10)=0)),VLOOKUP(D10,Systeemgegevens!$J:$K,2,FALSE),0)</f>
        <v>0</v>
      </c>
      <c r="AG10" s="118">
        <f>IF(AND(D10&lt;&gt;"",SUM(AB10:AF10)=0,D10&lt;&gt;$AB$4,D10&lt;&gt;$AC$4,D10&lt;&gt;$AE$4,D10&lt;&gt;$AF$4),VLOOKUP(D10,Systeemgegevens!$J:$K,2,FALSE),0)</f>
        <v>0</v>
      </c>
      <c r="AH10" s="119">
        <f t="shared" si="6"/>
        <v>0</v>
      </c>
      <c r="AI10" s="101">
        <f t="shared" si="7"/>
        <v>0</v>
      </c>
      <c r="AJ10" s="118">
        <f t="shared" si="19"/>
        <v>0</v>
      </c>
      <c r="AK10" s="119">
        <f t="shared" si="8"/>
        <v>0</v>
      </c>
      <c r="AL10" s="101">
        <f t="shared" si="9"/>
        <v>0</v>
      </c>
      <c r="AM10" s="43">
        <f t="shared" si="20"/>
        <v>0</v>
      </c>
      <c r="AN10" s="118">
        <f t="shared" si="21"/>
        <v>0</v>
      </c>
      <c r="AO10" s="122">
        <f t="shared" si="10"/>
        <v>0</v>
      </c>
      <c r="AP10" s="107">
        <f t="shared" si="11"/>
        <v>0</v>
      </c>
      <c r="AQ10" s="107">
        <f t="shared" si="12"/>
        <v>0</v>
      </c>
      <c r="AR10" s="123">
        <f t="shared" si="13"/>
        <v>0</v>
      </c>
      <c r="AS10" s="124">
        <f t="shared" si="14"/>
        <v>0</v>
      </c>
      <c r="AT10" s="124">
        <f t="shared" si="15"/>
        <v>0</v>
      </c>
      <c r="AU10" s="124">
        <f t="shared" si="16"/>
        <v>0</v>
      </c>
      <c r="AV10" s="117" t="s">
        <v>34</v>
      </c>
      <c r="AW10" s="129">
        <f>IF(($R$41=AV10)*AND($R$42&lt;&gt;""),VLOOKUP($R$42,'Barèmes police'!$H$4:$I$30,2),0)</f>
        <v>0</v>
      </c>
      <c r="AX10" s="16" t="str">
        <f>IF('Types de jours'!F16&lt;&gt;"",'Types de jours'!F16,"")</f>
        <v>1/2 Congé</v>
      </c>
      <c r="AY10" s="144">
        <f>IF(AX10&lt;&gt;"",'Types de jours'!I16,"")</f>
        <v>0.15833333333333333</v>
      </c>
      <c r="AZ10" s="269"/>
      <c r="BA10" s="154"/>
      <c r="BB10" s="154"/>
      <c r="BC10" s="154"/>
      <c r="BD10" s="154"/>
      <c r="BE10" s="154"/>
      <c r="BF10" s="154"/>
    </row>
    <row r="11" spans="1:58" ht="12.75" customHeight="1" x14ac:dyDescent="0.2">
      <c r="A11" s="34"/>
      <c r="B11" s="24" t="str">
        <f t="shared" si="0"/>
        <v>Lu</v>
      </c>
      <c r="C11" s="25">
        <f t="shared" si="22"/>
        <v>45355</v>
      </c>
      <c r="D11" s="51"/>
      <c r="E11" s="116"/>
      <c r="F11" s="52"/>
      <c r="G11" s="53"/>
      <c r="H11" s="52"/>
      <c r="I11" s="53"/>
      <c r="J11" s="54"/>
      <c r="K11" s="55"/>
      <c r="L11" s="40">
        <f t="shared" si="1"/>
        <v>0</v>
      </c>
      <c r="M11" s="41">
        <f t="shared" si="23"/>
        <v>0</v>
      </c>
      <c r="N11" s="42">
        <f>IF(AND(D11&lt;&gt;"Jour libre 4/5",B11&lt;&gt;"Sa",B11&lt;&gt;"Di"),SUM(N10,Configuration!$H$41),SUM(N10))</f>
        <v>0.6333333333333333</v>
      </c>
      <c r="O11" s="49" t="str">
        <f t="shared" si="24"/>
        <v>-</v>
      </c>
      <c r="P11" s="143">
        <f t="shared" si="17"/>
        <v>0.6333333333333333</v>
      </c>
      <c r="Q11" s="167">
        <f t="shared" si="18"/>
        <v>0</v>
      </c>
      <c r="R11" s="168">
        <f t="shared" si="18"/>
        <v>0</v>
      </c>
      <c r="S11" s="168">
        <f t="shared" si="18"/>
        <v>0</v>
      </c>
      <c r="T11" s="169">
        <f t="shared" si="18"/>
        <v>0</v>
      </c>
      <c r="U11" s="97">
        <f t="shared" si="2"/>
        <v>0</v>
      </c>
      <c r="V11" s="97">
        <f t="shared" si="3"/>
        <v>0</v>
      </c>
      <c r="W11" s="97">
        <f t="shared" si="4"/>
        <v>0</v>
      </c>
      <c r="X11" s="97">
        <f t="shared" si="5"/>
        <v>0</v>
      </c>
      <c r="Y11" s="209"/>
      <c r="Z11" s="210"/>
      <c r="AA11" s="210"/>
      <c r="AB11" s="128">
        <f>IF(AND(D11="Jour férié semaine",((G11-F11)+(I11-H11)+(K11-J11)=0)),VLOOKUP(D11,Systeemgegevens!$J:$K,2,FALSE),0)</f>
        <v>0</v>
      </c>
      <c r="AC11" s="43">
        <f>IF(AND(NOT(ISERROR(FIND("Congé",D11))),ISERROR(FIND("1/2",D11)),ISERROR(FIND("Synd",D11)),ISERROR(FIND("synd",D11)),(G11-F11+I11-H11+K11-J11)=0),VLOOKUP(D11,Systeemgegevens!$J:$K,2,FALSE),IF(AND(NOT(ISERROR(FIND("1/2 Congé + ",D11))),(G11-F11+I11-H11+K11-J11)=0),VLOOKUP(D11,Systeemgegevens!$J:$K,2,FALSE)/2,IF(AND(NOT(ISERROR(FIND("1/2 Congé",D11))),ISERROR(FIND(" + ",D11)),ISERROR(FIND("1/2 Congé Synd.",D11))),VLOOKUP(D11,Systeemgegevens!$J:$K,2,FALSE),0)))</f>
        <v>0</v>
      </c>
      <c r="AD11" s="43">
        <f>IF(AND(OR(D11="1/2 Congé Synd.",D11="Congé Synd."),((G11-F11)+(I11-H11)+(K11-J11)=0)),VLOOKUP(D11,Systeemgegevens!$J:$K,2,FALSE),IF(AND(D11="1/2 Congé + 1/2 synd.",((G11-F11)+(I11-H11)+(K11-J11)=0)),AC11,0))</f>
        <v>0</v>
      </c>
      <c r="AE11" s="43">
        <f>IF(AND(D11="Jour de pont",((G11-F11)+(I11-H11)+(K11-J11)=0)),VLOOKUP(D11,Systeemgegevens!$J:$K,2,FALSE),0)</f>
        <v>0</v>
      </c>
      <c r="AF11" s="43">
        <f>IF(AND(D11="Jour libre 4/5",AND((G11-F11)+(I11-H11)+(K11-J11)=0)),VLOOKUP(D11,Systeemgegevens!$J:$K,2,FALSE),0)</f>
        <v>0</v>
      </c>
      <c r="AG11" s="118">
        <f>IF(AND(D11&lt;&gt;"",SUM(AB11:AF11)=0,D11&lt;&gt;$AB$4,D11&lt;&gt;$AC$4,D11&lt;&gt;$AE$4,D11&lt;&gt;$AF$4),VLOOKUP(D11,Systeemgegevens!$J:$K,2,FALSE),0)</f>
        <v>0</v>
      </c>
      <c r="AH11" s="119">
        <f t="shared" si="6"/>
        <v>0</v>
      </c>
      <c r="AI11" s="101">
        <f t="shared" si="7"/>
        <v>0</v>
      </c>
      <c r="AJ11" s="118">
        <f t="shared" si="19"/>
        <v>0</v>
      </c>
      <c r="AK11" s="119">
        <f t="shared" si="8"/>
        <v>0</v>
      </c>
      <c r="AL11" s="101">
        <f t="shared" si="9"/>
        <v>0</v>
      </c>
      <c r="AM11" s="43">
        <f t="shared" si="20"/>
        <v>0</v>
      </c>
      <c r="AN11" s="118">
        <f t="shared" si="21"/>
        <v>0</v>
      </c>
      <c r="AO11" s="122">
        <f t="shared" si="10"/>
        <v>0</v>
      </c>
      <c r="AP11" s="107">
        <f t="shared" si="11"/>
        <v>0</v>
      </c>
      <c r="AQ11" s="107">
        <f t="shared" si="12"/>
        <v>0</v>
      </c>
      <c r="AR11" s="123">
        <f t="shared" si="13"/>
        <v>0</v>
      </c>
      <c r="AS11" s="124">
        <f t="shared" si="14"/>
        <v>0</v>
      </c>
      <c r="AT11" s="124">
        <f t="shared" si="15"/>
        <v>0</v>
      </c>
      <c r="AU11" s="124">
        <f t="shared" si="16"/>
        <v>0</v>
      </c>
      <c r="AV11" s="117" t="s">
        <v>268</v>
      </c>
      <c r="AW11" s="129">
        <f>IF(($R$41=AV11)*AND($R$42&lt;&gt;""),VLOOKUP($R$42,'Barèmes police'!$K$4:$L$30,2),0)</f>
        <v>0</v>
      </c>
      <c r="AX11" s="16" t="str">
        <f>IF('Types de jours'!F17&lt;&gt;"",'Types de jours'!F17,"")</f>
        <v>Malade</v>
      </c>
      <c r="AY11" s="144">
        <f>IF(AX11&lt;&gt;"",'Types de jours'!I17,"")</f>
        <v>0.31666666666666665</v>
      </c>
      <c r="AZ11" s="269"/>
      <c r="BA11" s="154"/>
      <c r="BB11" s="154"/>
      <c r="BC11" s="154"/>
      <c r="BD11" s="154"/>
      <c r="BE11" s="154"/>
      <c r="BF11" s="154"/>
    </row>
    <row r="12" spans="1:58" ht="12.75" customHeight="1" x14ac:dyDescent="0.2">
      <c r="A12" s="34"/>
      <c r="B12" s="24" t="str">
        <f t="shared" si="0"/>
        <v>Ma</v>
      </c>
      <c r="C12" s="25">
        <f t="shared" si="22"/>
        <v>45356</v>
      </c>
      <c r="D12" s="51"/>
      <c r="E12" s="116"/>
      <c r="F12" s="52"/>
      <c r="G12" s="53"/>
      <c r="H12" s="52"/>
      <c r="I12" s="53"/>
      <c r="J12" s="54"/>
      <c r="K12" s="55"/>
      <c r="L12" s="40">
        <f t="shared" si="1"/>
        <v>0</v>
      </c>
      <c r="M12" s="41">
        <f t="shared" si="23"/>
        <v>0</v>
      </c>
      <c r="N12" s="42">
        <f>IF(AND(D12&lt;&gt;"Jour libre 4/5",B12&lt;&gt;"Sa",B12&lt;&gt;"Di"),SUM(N11,Configuration!$H$41),SUM(N11))</f>
        <v>0.95</v>
      </c>
      <c r="O12" s="49" t="str">
        <f t="shared" si="24"/>
        <v>-</v>
      </c>
      <c r="P12" s="143">
        <f t="shared" si="17"/>
        <v>0.95</v>
      </c>
      <c r="Q12" s="167">
        <f t="shared" si="18"/>
        <v>0</v>
      </c>
      <c r="R12" s="168">
        <f t="shared" si="18"/>
        <v>0</v>
      </c>
      <c r="S12" s="168">
        <f t="shared" si="18"/>
        <v>0</v>
      </c>
      <c r="T12" s="169">
        <f t="shared" si="18"/>
        <v>0</v>
      </c>
      <c r="U12" s="97">
        <f t="shared" si="2"/>
        <v>0</v>
      </c>
      <c r="V12" s="97">
        <f t="shared" si="3"/>
        <v>0</v>
      </c>
      <c r="W12" s="97">
        <f t="shared" si="4"/>
        <v>0</v>
      </c>
      <c r="X12" s="97">
        <f t="shared" si="5"/>
        <v>0</v>
      </c>
      <c r="Y12" s="209"/>
      <c r="Z12" s="210"/>
      <c r="AA12" s="210"/>
      <c r="AB12" s="128">
        <f>IF(AND(D12="Jour férié semaine",((G12-F12)+(I12-H12)+(K12-J12)=0)),VLOOKUP(D12,Systeemgegevens!$J:$K,2,FALSE),0)</f>
        <v>0</v>
      </c>
      <c r="AC12" s="43">
        <f>IF(AND(NOT(ISERROR(FIND("Congé",D12))),ISERROR(FIND("1/2",D12)),ISERROR(FIND("Synd",D12)),ISERROR(FIND("synd",D12)),(G12-F12+I12-H12+K12-J12)=0),VLOOKUP(D12,Systeemgegevens!$J:$K,2,FALSE),IF(AND(NOT(ISERROR(FIND("1/2 Congé + ",D12))),(G12-F12+I12-H12+K12-J12)=0),VLOOKUP(D12,Systeemgegevens!$J:$K,2,FALSE)/2,IF(AND(NOT(ISERROR(FIND("1/2 Congé",D12))),ISERROR(FIND(" + ",D12)),ISERROR(FIND("1/2 Congé Synd.",D12))),VLOOKUP(D12,Systeemgegevens!$J:$K,2,FALSE),0)))</f>
        <v>0</v>
      </c>
      <c r="AD12" s="43">
        <f>IF(AND(OR(D12="1/2 Congé Synd.",D12="Congé Synd."),((G12-F12)+(I12-H12)+(K12-J12)=0)),VLOOKUP(D12,Systeemgegevens!$J:$K,2,FALSE),IF(AND(D12="1/2 Congé + 1/2 synd.",((G12-F12)+(I12-H12)+(K12-J12)=0)),AC12,0))</f>
        <v>0</v>
      </c>
      <c r="AE12" s="43">
        <f>IF(AND(D12="Jour de pont",((G12-F12)+(I12-H12)+(K12-J12)=0)),VLOOKUP(D12,Systeemgegevens!$J:$K,2,FALSE),0)</f>
        <v>0</v>
      </c>
      <c r="AF12" s="43">
        <f>IF(AND(D12="Jour libre 4/5",AND((G12-F12)+(I12-H12)+(K12-J12)=0)),VLOOKUP(D12,Systeemgegevens!$J:$K,2,FALSE),0)</f>
        <v>0</v>
      </c>
      <c r="AG12" s="118">
        <f>IF(AND(D12&lt;&gt;"",SUM(AB12:AF12)=0,D12&lt;&gt;$AB$4,D12&lt;&gt;$AC$4,D12&lt;&gt;$AE$4,D12&lt;&gt;$AF$4),VLOOKUP(D12,Systeemgegevens!$J:$K,2,FALSE),0)</f>
        <v>0</v>
      </c>
      <c r="AH12" s="119">
        <f t="shared" si="6"/>
        <v>0</v>
      </c>
      <c r="AI12" s="101">
        <f t="shared" si="7"/>
        <v>0</v>
      </c>
      <c r="AJ12" s="118">
        <f t="shared" si="19"/>
        <v>0</v>
      </c>
      <c r="AK12" s="119">
        <f t="shared" si="8"/>
        <v>0</v>
      </c>
      <c r="AL12" s="101">
        <f t="shared" si="9"/>
        <v>0</v>
      </c>
      <c r="AM12" s="43">
        <f t="shared" si="20"/>
        <v>0</v>
      </c>
      <c r="AN12" s="118">
        <f t="shared" si="21"/>
        <v>0</v>
      </c>
      <c r="AO12" s="122">
        <f t="shared" si="10"/>
        <v>0</v>
      </c>
      <c r="AP12" s="107">
        <f t="shared" si="11"/>
        <v>0</v>
      </c>
      <c r="AQ12" s="107">
        <f t="shared" si="12"/>
        <v>0</v>
      </c>
      <c r="AR12" s="123">
        <f t="shared" si="13"/>
        <v>0</v>
      </c>
      <c r="AS12" s="124">
        <f t="shared" si="14"/>
        <v>0</v>
      </c>
      <c r="AT12" s="124">
        <f t="shared" si="15"/>
        <v>0</v>
      </c>
      <c r="AU12" s="124">
        <f t="shared" si="16"/>
        <v>0</v>
      </c>
      <c r="AV12" s="117" t="s">
        <v>33</v>
      </c>
      <c r="AW12" s="129">
        <f>IF(($R$41=AV12)*AND($R$42&lt;&gt;""),VLOOKUP($R$42,'Barèmes police'!$N$4:$O$30,2),0)</f>
        <v>0</v>
      </c>
      <c r="AX12" s="16" t="str">
        <f>IF('Types de jours'!F18&lt;&gt;"",'Types de jours'!F18,"")</f>
        <v>Acc. de travail</v>
      </c>
      <c r="AY12" s="144">
        <f>IF(AX12&lt;&gt;"",'Types de jours'!I18,"")</f>
        <v>0.31666666666666665</v>
      </c>
      <c r="AZ12" s="269"/>
      <c r="BA12" s="154"/>
      <c r="BB12" s="154"/>
      <c r="BC12" s="154"/>
      <c r="BD12" s="154"/>
      <c r="BE12" s="154"/>
      <c r="BF12" s="154"/>
    </row>
    <row r="13" spans="1:58" ht="12.75" customHeight="1" x14ac:dyDescent="0.2">
      <c r="A13" s="34"/>
      <c r="B13" s="24" t="str">
        <f t="shared" si="0"/>
        <v>Me</v>
      </c>
      <c r="C13" s="25">
        <f t="shared" si="22"/>
        <v>45357</v>
      </c>
      <c r="D13" s="51"/>
      <c r="E13" s="116"/>
      <c r="F13" s="52"/>
      <c r="G13" s="53"/>
      <c r="H13" s="52"/>
      <c r="I13" s="53"/>
      <c r="J13" s="54"/>
      <c r="K13" s="55"/>
      <c r="L13" s="40">
        <f t="shared" si="1"/>
        <v>0</v>
      </c>
      <c r="M13" s="41">
        <f t="shared" si="23"/>
        <v>0</v>
      </c>
      <c r="N13" s="42">
        <f>IF(AND(D13&lt;&gt;"Jour libre 4/5",B13&lt;&gt;"Sa",B13&lt;&gt;"Di"),SUM(N12,Configuration!$H$41),SUM(N12))</f>
        <v>1.2666666666666666</v>
      </c>
      <c r="O13" s="49" t="str">
        <f t="shared" si="24"/>
        <v>-</v>
      </c>
      <c r="P13" s="143">
        <f t="shared" si="17"/>
        <v>1.2666666666666666</v>
      </c>
      <c r="Q13" s="167">
        <f t="shared" si="18"/>
        <v>0</v>
      </c>
      <c r="R13" s="168">
        <f t="shared" si="18"/>
        <v>0</v>
      </c>
      <c r="S13" s="168">
        <f t="shared" si="18"/>
        <v>0</v>
      </c>
      <c r="T13" s="169">
        <f t="shared" si="18"/>
        <v>0</v>
      </c>
      <c r="U13" s="97">
        <f t="shared" si="2"/>
        <v>0</v>
      </c>
      <c r="V13" s="97">
        <f t="shared" si="3"/>
        <v>0</v>
      </c>
      <c r="W13" s="97">
        <f t="shared" si="4"/>
        <v>0</v>
      </c>
      <c r="X13" s="97">
        <f t="shared" si="5"/>
        <v>0</v>
      </c>
      <c r="Y13" s="209"/>
      <c r="Z13" s="210"/>
      <c r="AA13" s="210"/>
      <c r="AB13" s="128">
        <f>IF(AND(D13="Jour férié semaine",((G13-F13)+(I13-H13)+(K13-J13)=0)),VLOOKUP(D13,Systeemgegevens!$J:$K,2,FALSE),0)</f>
        <v>0</v>
      </c>
      <c r="AC13" s="43">
        <f>IF(AND(NOT(ISERROR(FIND("Congé",D13))),ISERROR(FIND("1/2",D13)),ISERROR(FIND("Synd",D13)),ISERROR(FIND("synd",D13)),(G13-F13+I13-H13+K13-J13)=0),VLOOKUP(D13,Systeemgegevens!$J:$K,2,FALSE),IF(AND(NOT(ISERROR(FIND("1/2 Congé + ",D13))),(G13-F13+I13-H13+K13-J13)=0),VLOOKUP(D13,Systeemgegevens!$J:$K,2,FALSE)/2,IF(AND(NOT(ISERROR(FIND("1/2 Congé",D13))),ISERROR(FIND(" + ",D13)),ISERROR(FIND("1/2 Congé Synd.",D13))),VLOOKUP(D13,Systeemgegevens!$J:$K,2,FALSE),0)))</f>
        <v>0</v>
      </c>
      <c r="AD13" s="43">
        <f>IF(AND(OR(D13="1/2 Congé Synd.",D13="Congé Synd."),((G13-F13)+(I13-H13)+(K13-J13)=0)),VLOOKUP(D13,Systeemgegevens!$J:$K,2,FALSE),IF(AND(D13="1/2 Congé + 1/2 synd.",((G13-F13)+(I13-H13)+(K13-J13)=0)),AC13,0))</f>
        <v>0</v>
      </c>
      <c r="AE13" s="43">
        <f>IF(AND(D13="Jour de pont",((G13-F13)+(I13-H13)+(K13-J13)=0)),VLOOKUP(D13,Systeemgegevens!$J:$K,2,FALSE),0)</f>
        <v>0</v>
      </c>
      <c r="AF13" s="43">
        <f>IF(AND(D13="Jour libre 4/5",AND((G13-F13)+(I13-H13)+(K13-J13)=0)),VLOOKUP(D13,Systeemgegevens!$J:$K,2,FALSE),0)</f>
        <v>0</v>
      </c>
      <c r="AG13" s="118">
        <f>IF(AND(D13&lt;&gt;"",SUM(AB13:AF13)=0,D13&lt;&gt;$AB$4,D13&lt;&gt;$AC$4,D13&lt;&gt;$AE$4,D13&lt;&gt;$AF$4),VLOOKUP(D13,Systeemgegevens!$J:$K,2,FALSE),0)</f>
        <v>0</v>
      </c>
      <c r="AH13" s="119">
        <f t="shared" si="6"/>
        <v>0</v>
      </c>
      <c r="AI13" s="101">
        <f t="shared" si="7"/>
        <v>0</v>
      </c>
      <c r="AJ13" s="118">
        <f t="shared" si="19"/>
        <v>0</v>
      </c>
      <c r="AK13" s="119">
        <f t="shared" si="8"/>
        <v>0</v>
      </c>
      <c r="AL13" s="101">
        <f t="shared" si="9"/>
        <v>0</v>
      </c>
      <c r="AM13" s="43">
        <f t="shared" si="20"/>
        <v>0</v>
      </c>
      <c r="AN13" s="118">
        <f t="shared" si="21"/>
        <v>0</v>
      </c>
      <c r="AO13" s="122">
        <f t="shared" si="10"/>
        <v>0</v>
      </c>
      <c r="AP13" s="107">
        <f t="shared" si="11"/>
        <v>0</v>
      </c>
      <c r="AQ13" s="107">
        <f t="shared" si="12"/>
        <v>0</v>
      </c>
      <c r="AR13" s="123">
        <f t="shared" si="13"/>
        <v>0</v>
      </c>
      <c r="AS13" s="124">
        <f t="shared" si="14"/>
        <v>0</v>
      </c>
      <c r="AT13" s="124">
        <f t="shared" si="15"/>
        <v>0</v>
      </c>
      <c r="AU13" s="124">
        <f t="shared" si="16"/>
        <v>0</v>
      </c>
      <c r="AV13" s="117" t="s">
        <v>32</v>
      </c>
      <c r="AW13" s="129">
        <f>IF(($R$41=AV13)*AND($R$42&lt;&gt;""),VLOOKUP($R$42,'Barèmes police'!$Q$4:$R$30,2),0)</f>
        <v>0</v>
      </c>
      <c r="AX13" s="16" t="str">
        <f>IF('Types de jours'!F19&lt;&gt;"",'Types de jours'!F19,"")</f>
        <v>Congé Synd.</v>
      </c>
      <c r="AY13" s="144">
        <f>IF(AX13&lt;&gt;"",'Types de jours'!I19,"")</f>
        <v>0.31666666666666665</v>
      </c>
      <c r="AZ13" s="269"/>
      <c r="BA13" s="154"/>
      <c r="BB13" s="154"/>
      <c r="BC13" s="154"/>
      <c r="BD13" s="154"/>
      <c r="BE13" s="154"/>
      <c r="BF13" s="154"/>
    </row>
    <row r="14" spans="1:58" ht="12.75" customHeight="1" x14ac:dyDescent="0.2">
      <c r="A14" s="34"/>
      <c r="B14" s="24" t="str">
        <f t="shared" si="0"/>
        <v>Je</v>
      </c>
      <c r="C14" s="25">
        <f t="shared" si="22"/>
        <v>45358</v>
      </c>
      <c r="D14" s="51"/>
      <c r="E14" s="116"/>
      <c r="F14" s="52"/>
      <c r="G14" s="53"/>
      <c r="H14" s="52"/>
      <c r="I14" s="53"/>
      <c r="J14" s="54"/>
      <c r="K14" s="55"/>
      <c r="L14" s="40">
        <f t="shared" si="1"/>
        <v>0</v>
      </c>
      <c r="M14" s="41">
        <f t="shared" si="23"/>
        <v>0</v>
      </c>
      <c r="N14" s="42">
        <f>IF(AND(D14&lt;&gt;"Jour libre 4/5",B14&lt;&gt;"Sa",B14&lt;&gt;"Di"),SUM(N13,Configuration!$H$41),SUM(N13))</f>
        <v>1.5833333333333333</v>
      </c>
      <c r="O14" s="49" t="str">
        <f t="shared" si="24"/>
        <v>-</v>
      </c>
      <c r="P14" s="143">
        <f t="shared" si="17"/>
        <v>1.5833333333333333</v>
      </c>
      <c r="Q14" s="167">
        <f t="shared" si="18"/>
        <v>0</v>
      </c>
      <c r="R14" s="168">
        <f t="shared" si="18"/>
        <v>0</v>
      </c>
      <c r="S14" s="168">
        <f t="shared" si="18"/>
        <v>0</v>
      </c>
      <c r="T14" s="169">
        <f t="shared" si="18"/>
        <v>0</v>
      </c>
      <c r="U14" s="97">
        <f t="shared" si="2"/>
        <v>0</v>
      </c>
      <c r="V14" s="97">
        <f t="shared" si="3"/>
        <v>0</v>
      </c>
      <c r="W14" s="97">
        <f t="shared" si="4"/>
        <v>0</v>
      </c>
      <c r="X14" s="97">
        <f t="shared" si="5"/>
        <v>0</v>
      </c>
      <c r="Y14" s="209"/>
      <c r="Z14" s="210"/>
      <c r="AA14" s="210"/>
      <c r="AB14" s="128">
        <f>IF(AND(D14="Jour férié semaine",((G14-F14)+(I14-H14)+(K14-J14)=0)),VLOOKUP(D14,Systeemgegevens!$J:$K,2,FALSE),0)</f>
        <v>0</v>
      </c>
      <c r="AC14" s="43">
        <f>IF(AND(NOT(ISERROR(FIND("Congé",D14))),ISERROR(FIND("1/2",D14)),ISERROR(FIND("Synd",D14)),ISERROR(FIND("synd",D14)),(G14-F14+I14-H14+K14-J14)=0),VLOOKUP(D14,Systeemgegevens!$J:$K,2,FALSE),IF(AND(NOT(ISERROR(FIND("1/2 Congé + ",D14))),(G14-F14+I14-H14+K14-J14)=0),VLOOKUP(D14,Systeemgegevens!$J:$K,2,FALSE)/2,IF(AND(NOT(ISERROR(FIND("1/2 Congé",D14))),ISERROR(FIND(" + ",D14)),ISERROR(FIND("1/2 Congé Synd.",D14))),VLOOKUP(D14,Systeemgegevens!$J:$K,2,FALSE),0)))</f>
        <v>0</v>
      </c>
      <c r="AD14" s="43">
        <f>IF(AND(OR(D14="1/2 Congé Synd.",D14="Congé Synd."),((G14-F14)+(I14-H14)+(K14-J14)=0)),VLOOKUP(D14,Systeemgegevens!$J:$K,2,FALSE),IF(AND(D14="1/2 Congé + 1/2 synd.",((G14-F14)+(I14-H14)+(K14-J14)=0)),AC14,0))</f>
        <v>0</v>
      </c>
      <c r="AE14" s="43">
        <f>IF(AND(D14="Jour de pont",((G14-F14)+(I14-H14)+(K14-J14)=0)),VLOOKUP(D14,Systeemgegevens!$J:$K,2,FALSE),0)</f>
        <v>0</v>
      </c>
      <c r="AF14" s="43">
        <f>IF(AND(D14="Jour libre 4/5",AND((G14-F14)+(I14-H14)+(K14-J14)=0)),VLOOKUP(D14,Systeemgegevens!$J:$K,2,FALSE),0)</f>
        <v>0</v>
      </c>
      <c r="AG14" s="118">
        <f>IF(AND(D14&lt;&gt;"",SUM(AB14:AF14)=0,D14&lt;&gt;$AB$4,D14&lt;&gt;$AC$4,D14&lt;&gt;$AE$4,D14&lt;&gt;$AF$4),VLOOKUP(D14,Systeemgegevens!$J:$K,2,FALSE),0)</f>
        <v>0</v>
      </c>
      <c r="AH14" s="119">
        <f t="shared" si="6"/>
        <v>0</v>
      </c>
      <c r="AI14" s="101">
        <f t="shared" si="7"/>
        <v>0</v>
      </c>
      <c r="AJ14" s="118">
        <f t="shared" si="19"/>
        <v>0</v>
      </c>
      <c r="AK14" s="119">
        <f t="shared" si="8"/>
        <v>0</v>
      </c>
      <c r="AL14" s="101">
        <f t="shared" si="9"/>
        <v>0</v>
      </c>
      <c r="AM14" s="43">
        <f t="shared" si="20"/>
        <v>0</v>
      </c>
      <c r="AN14" s="118">
        <f t="shared" si="21"/>
        <v>0</v>
      </c>
      <c r="AO14" s="122">
        <f t="shared" si="10"/>
        <v>0</v>
      </c>
      <c r="AP14" s="107">
        <f t="shared" si="11"/>
        <v>0</v>
      </c>
      <c r="AQ14" s="107">
        <f t="shared" si="12"/>
        <v>0</v>
      </c>
      <c r="AR14" s="123">
        <f t="shared" si="13"/>
        <v>0</v>
      </c>
      <c r="AS14" s="124">
        <f t="shared" si="14"/>
        <v>0</v>
      </c>
      <c r="AT14" s="124">
        <f t="shared" si="15"/>
        <v>0</v>
      </c>
      <c r="AU14" s="124">
        <f t="shared" si="16"/>
        <v>0</v>
      </c>
      <c r="AV14" s="117" t="s">
        <v>31</v>
      </c>
      <c r="AW14" s="129">
        <f>IF(($R$41=AV14)*AND($R$42&lt;&gt;""),VLOOKUP($R$42,'Barèmes police'!$T$4:$U$30,2),0)</f>
        <v>0</v>
      </c>
      <c r="AX14" s="16" t="str">
        <f>IF('Types de jours'!F20&lt;&gt;"",'Types de jours'!F20,"")</f>
        <v>1/2 Congé Synd.</v>
      </c>
      <c r="AY14" s="144">
        <f>IF(AX14&lt;&gt;"",'Types de jours'!I20,"")</f>
        <v>0.15833333333333333</v>
      </c>
      <c r="AZ14" s="269"/>
      <c r="BA14" s="154"/>
      <c r="BB14" s="154"/>
      <c r="BC14" s="154"/>
      <c r="BD14" s="154"/>
      <c r="BE14" s="154"/>
      <c r="BF14" s="154"/>
    </row>
    <row r="15" spans="1:58" ht="12.75" customHeight="1" x14ac:dyDescent="0.2">
      <c r="A15" s="34"/>
      <c r="B15" s="24" t="str">
        <f t="shared" si="0"/>
        <v>Ve</v>
      </c>
      <c r="C15" s="25">
        <f t="shared" si="22"/>
        <v>45359</v>
      </c>
      <c r="D15" s="51"/>
      <c r="E15" s="116"/>
      <c r="F15" s="52"/>
      <c r="G15" s="53"/>
      <c r="H15" s="52"/>
      <c r="I15" s="53"/>
      <c r="J15" s="54"/>
      <c r="K15" s="55"/>
      <c r="L15" s="40">
        <f t="shared" si="1"/>
        <v>0</v>
      </c>
      <c r="M15" s="41">
        <f t="shared" si="23"/>
        <v>0</v>
      </c>
      <c r="N15" s="42">
        <f>IF(AND(D15&lt;&gt;"Jour libre 4/5",B15&lt;&gt;"Sa",B15&lt;&gt;"Di"),SUM(N14,Configuration!$H$41),SUM(N14))</f>
        <v>1.9</v>
      </c>
      <c r="O15" s="49" t="str">
        <f t="shared" si="24"/>
        <v>-</v>
      </c>
      <c r="P15" s="143">
        <f t="shared" si="17"/>
        <v>1.9</v>
      </c>
      <c r="Q15" s="167">
        <f t="shared" si="18"/>
        <v>0</v>
      </c>
      <c r="R15" s="168">
        <f t="shared" si="18"/>
        <v>0</v>
      </c>
      <c r="S15" s="168">
        <f t="shared" si="18"/>
        <v>0</v>
      </c>
      <c r="T15" s="169">
        <f t="shared" si="18"/>
        <v>0</v>
      </c>
      <c r="U15" s="97">
        <f t="shared" si="2"/>
        <v>0</v>
      </c>
      <c r="V15" s="97">
        <f t="shared" si="3"/>
        <v>0</v>
      </c>
      <c r="W15" s="97">
        <f t="shared" si="4"/>
        <v>0</v>
      </c>
      <c r="X15" s="97">
        <f t="shared" si="5"/>
        <v>0</v>
      </c>
      <c r="Y15" s="209"/>
      <c r="Z15" s="210"/>
      <c r="AA15" s="210"/>
      <c r="AB15" s="128">
        <f>IF(AND(D15="Jour férié semaine",((G15-F15)+(I15-H15)+(K15-J15)=0)),VLOOKUP(D15,Systeemgegevens!$J:$K,2,FALSE),0)</f>
        <v>0</v>
      </c>
      <c r="AC15" s="43">
        <f>IF(AND(NOT(ISERROR(FIND("Congé",D15))),ISERROR(FIND("1/2",D15)),ISERROR(FIND("Synd",D15)),ISERROR(FIND("synd",D15)),(G15-F15+I15-H15+K15-J15)=0),VLOOKUP(D15,Systeemgegevens!$J:$K,2,FALSE),IF(AND(NOT(ISERROR(FIND("1/2 Congé + ",D15))),(G15-F15+I15-H15+K15-J15)=0),VLOOKUP(D15,Systeemgegevens!$J:$K,2,FALSE)/2,IF(AND(NOT(ISERROR(FIND("1/2 Congé",D15))),ISERROR(FIND(" + ",D15)),ISERROR(FIND("1/2 Congé Synd.",D15))),VLOOKUP(D15,Systeemgegevens!$J:$K,2,FALSE),0)))</f>
        <v>0</v>
      </c>
      <c r="AD15" s="43">
        <f>IF(AND(OR(D15="1/2 Congé Synd.",D15="Congé Synd."),((G15-F15)+(I15-H15)+(K15-J15)=0)),VLOOKUP(D15,Systeemgegevens!$J:$K,2,FALSE),IF(AND(D15="1/2 Congé + 1/2 synd.",((G15-F15)+(I15-H15)+(K15-J15)=0)),AC15,0))</f>
        <v>0</v>
      </c>
      <c r="AE15" s="43">
        <f>IF(AND(D15="Jour de pont",((G15-F15)+(I15-H15)+(K15-J15)=0)),VLOOKUP(D15,Systeemgegevens!$J:$K,2,FALSE),0)</f>
        <v>0</v>
      </c>
      <c r="AF15" s="43">
        <f>IF(AND(D15="Jour libre 4/5",AND((G15-F15)+(I15-H15)+(K15-J15)=0)),VLOOKUP(D15,Systeemgegevens!$J:$K,2,FALSE),0)</f>
        <v>0</v>
      </c>
      <c r="AG15" s="118">
        <f>IF(AND(D15&lt;&gt;"",SUM(AB15:AF15)=0,D15&lt;&gt;$AB$4,D15&lt;&gt;$AC$4,D15&lt;&gt;$AE$4,D15&lt;&gt;$AF$4),VLOOKUP(D15,Systeemgegevens!$J:$K,2,FALSE),0)</f>
        <v>0</v>
      </c>
      <c r="AH15" s="119">
        <f t="shared" si="6"/>
        <v>0</v>
      </c>
      <c r="AI15" s="101">
        <f t="shared" si="7"/>
        <v>0</v>
      </c>
      <c r="AJ15" s="118">
        <f t="shared" si="19"/>
        <v>0</v>
      </c>
      <c r="AK15" s="119">
        <f t="shared" si="8"/>
        <v>0</v>
      </c>
      <c r="AL15" s="101">
        <f t="shared" si="9"/>
        <v>0</v>
      </c>
      <c r="AM15" s="43">
        <f t="shared" si="20"/>
        <v>0</v>
      </c>
      <c r="AN15" s="118">
        <f t="shared" si="21"/>
        <v>0</v>
      </c>
      <c r="AO15" s="122">
        <f t="shared" si="10"/>
        <v>0</v>
      </c>
      <c r="AP15" s="107">
        <f t="shared" si="11"/>
        <v>0</v>
      </c>
      <c r="AQ15" s="107">
        <f t="shared" si="12"/>
        <v>0</v>
      </c>
      <c r="AR15" s="123">
        <f t="shared" si="13"/>
        <v>0</v>
      </c>
      <c r="AS15" s="124">
        <f t="shared" si="14"/>
        <v>0</v>
      </c>
      <c r="AT15" s="124">
        <f t="shared" si="15"/>
        <v>0</v>
      </c>
      <c r="AU15" s="124">
        <f t="shared" si="16"/>
        <v>0</v>
      </c>
      <c r="AV15" s="117" t="s">
        <v>30</v>
      </c>
      <c r="AW15" s="129">
        <f>IF(($R$41=AV15)*AND($R$42&lt;&gt;""),VLOOKUP($R$42,'Barèmes police'!$W$4:$X$30,2),0)</f>
        <v>0</v>
      </c>
      <c r="AX15" s="16" t="str">
        <f>IF('Types de jours'!F21&lt;&gt;"",'Types de jours'!F21,"")</f>
        <v>1/2 Congé + 1/2 synd.</v>
      </c>
      <c r="AY15" s="144">
        <f>IF(AX15&lt;&gt;"",'Types de jours'!I21,"")</f>
        <v>0.31666666666666665</v>
      </c>
      <c r="AZ15" s="269"/>
      <c r="BA15" s="154"/>
      <c r="BB15" s="154"/>
      <c r="BC15" s="154"/>
      <c r="BD15" s="154"/>
      <c r="BE15" s="154"/>
      <c r="BF15" s="154"/>
    </row>
    <row r="16" spans="1:58" ht="12.75" customHeight="1" x14ac:dyDescent="0.2">
      <c r="A16" s="34"/>
      <c r="B16" s="24" t="str">
        <f t="shared" si="0"/>
        <v>Sa</v>
      </c>
      <c r="C16" s="25">
        <f t="shared" si="22"/>
        <v>45360</v>
      </c>
      <c r="D16" s="51"/>
      <c r="E16" s="116"/>
      <c r="F16" s="52"/>
      <c r="G16" s="53"/>
      <c r="H16" s="52"/>
      <c r="I16" s="53"/>
      <c r="J16" s="54"/>
      <c r="K16" s="55"/>
      <c r="L16" s="40">
        <f t="shared" si="1"/>
        <v>0</v>
      </c>
      <c r="M16" s="41">
        <f t="shared" si="23"/>
        <v>0</v>
      </c>
      <c r="N16" s="42">
        <f>IF(AND(D16&lt;&gt;"Jour libre 4/5",B16&lt;&gt;"Sa",B16&lt;&gt;"Di"),SUM(N15,Configuration!$H$41),SUM(N15))</f>
        <v>1.9</v>
      </c>
      <c r="O16" s="49" t="str">
        <f t="shared" si="24"/>
        <v>-</v>
      </c>
      <c r="P16" s="143">
        <f t="shared" si="17"/>
        <v>1.9</v>
      </c>
      <c r="Q16" s="167">
        <f t="shared" si="18"/>
        <v>0</v>
      </c>
      <c r="R16" s="168">
        <f t="shared" si="18"/>
        <v>0</v>
      </c>
      <c r="S16" s="168">
        <f t="shared" si="18"/>
        <v>0</v>
      </c>
      <c r="T16" s="169">
        <f t="shared" si="18"/>
        <v>0</v>
      </c>
      <c r="U16" s="97">
        <f t="shared" si="2"/>
        <v>0</v>
      </c>
      <c r="V16" s="97">
        <f t="shared" si="3"/>
        <v>0</v>
      </c>
      <c r="W16" s="97">
        <f t="shared" si="4"/>
        <v>0</v>
      </c>
      <c r="X16" s="97">
        <f t="shared" si="5"/>
        <v>0</v>
      </c>
      <c r="Y16" s="209"/>
      <c r="Z16" s="210"/>
      <c r="AA16" s="210"/>
      <c r="AB16" s="128">
        <f>IF(AND(D16="Jour férié semaine",((G16-F16)+(I16-H16)+(K16-J16)=0)),VLOOKUP(D16,Systeemgegevens!$J:$K,2,FALSE),0)</f>
        <v>0</v>
      </c>
      <c r="AC16" s="43">
        <f>IF(AND(NOT(ISERROR(FIND("Congé",D16))),ISERROR(FIND("1/2",D16)),ISERROR(FIND("Synd",D16)),ISERROR(FIND("synd",D16)),(G16-F16+I16-H16+K16-J16)=0),VLOOKUP(D16,Systeemgegevens!$J:$K,2,FALSE),IF(AND(NOT(ISERROR(FIND("1/2 Congé + ",D16))),(G16-F16+I16-H16+K16-J16)=0),VLOOKUP(D16,Systeemgegevens!$J:$K,2,FALSE)/2,IF(AND(NOT(ISERROR(FIND("1/2 Congé",D16))),ISERROR(FIND(" + ",D16)),ISERROR(FIND("1/2 Congé Synd.",D16))),VLOOKUP(D16,Systeemgegevens!$J:$K,2,FALSE),0)))</f>
        <v>0</v>
      </c>
      <c r="AD16" s="43">
        <f>IF(AND(OR(D16="1/2 Congé Synd.",D16="Congé Synd."),((G16-F16)+(I16-H16)+(K16-J16)=0)),VLOOKUP(D16,Systeemgegevens!$J:$K,2,FALSE),IF(AND(D16="1/2 Congé + 1/2 synd.",((G16-F16)+(I16-H16)+(K16-J16)=0)),AC16,0))</f>
        <v>0</v>
      </c>
      <c r="AE16" s="43">
        <f>IF(AND(D16="Jour de pont",((G16-F16)+(I16-H16)+(K16-J16)=0)),VLOOKUP(D16,Systeemgegevens!$J:$K,2,FALSE),0)</f>
        <v>0</v>
      </c>
      <c r="AF16" s="43">
        <f>IF(AND(D16="Jour libre 4/5",AND((G16-F16)+(I16-H16)+(K16-J16)=0)),VLOOKUP(D16,Systeemgegevens!$J:$K,2,FALSE),0)</f>
        <v>0</v>
      </c>
      <c r="AG16" s="118">
        <f>IF(AND(D16&lt;&gt;"",SUM(AB16:AF16)=0,D16&lt;&gt;$AB$4,D16&lt;&gt;$AC$4,D16&lt;&gt;$AE$4,D16&lt;&gt;$AF$4),VLOOKUP(D16,Systeemgegevens!$J:$K,2,FALSE),0)</f>
        <v>0</v>
      </c>
      <c r="AH16" s="119">
        <f t="shared" si="6"/>
        <v>0</v>
      </c>
      <c r="AI16" s="101">
        <f t="shared" si="7"/>
        <v>0</v>
      </c>
      <c r="AJ16" s="118">
        <f t="shared" si="19"/>
        <v>0</v>
      </c>
      <c r="AK16" s="119">
        <f t="shared" si="8"/>
        <v>0</v>
      </c>
      <c r="AL16" s="101">
        <f t="shared" si="9"/>
        <v>0</v>
      </c>
      <c r="AM16" s="43">
        <f t="shared" si="20"/>
        <v>0</v>
      </c>
      <c r="AN16" s="118">
        <f t="shared" si="21"/>
        <v>0</v>
      </c>
      <c r="AO16" s="122">
        <f t="shared" si="10"/>
        <v>0</v>
      </c>
      <c r="AP16" s="107">
        <f t="shared" si="11"/>
        <v>0</v>
      </c>
      <c r="AQ16" s="107">
        <f t="shared" si="12"/>
        <v>0</v>
      </c>
      <c r="AR16" s="123">
        <f t="shared" si="13"/>
        <v>0</v>
      </c>
      <c r="AS16" s="124">
        <f t="shared" si="14"/>
        <v>0</v>
      </c>
      <c r="AT16" s="124">
        <f t="shared" si="15"/>
        <v>0</v>
      </c>
      <c r="AU16" s="124">
        <f t="shared" si="16"/>
        <v>0</v>
      </c>
      <c r="AV16" s="117" t="s">
        <v>29</v>
      </c>
      <c r="AW16" s="129">
        <f>IF(($R$41=AV16)*AND($R$42&lt;&gt;""),VLOOKUP($R$42,'Barèmes police'!$Z$4:$AA$30,2),0)</f>
        <v>0</v>
      </c>
      <c r="AX16" s="16" t="str">
        <f>IF('Types de jours'!F22&lt;&gt;"",'Types de jours'!F22,"")</f>
        <v>Jour férié semaine</v>
      </c>
      <c r="AY16" s="144">
        <f>IF(AX16&lt;&gt;"",'Types de jours'!I22,"")</f>
        <v>0.31666666666666665</v>
      </c>
      <c r="AZ16" s="269"/>
      <c r="BA16" s="154"/>
      <c r="BB16" s="154"/>
      <c r="BC16" s="154"/>
      <c r="BD16" s="154"/>
      <c r="BE16" s="154"/>
      <c r="BF16" s="154"/>
    </row>
    <row r="17" spans="1:58" ht="12.75" customHeight="1" x14ac:dyDescent="0.2">
      <c r="A17" s="34"/>
      <c r="B17" s="24" t="str">
        <f t="shared" si="0"/>
        <v>Di</v>
      </c>
      <c r="C17" s="25">
        <f t="shared" si="22"/>
        <v>45361</v>
      </c>
      <c r="D17" s="51"/>
      <c r="E17" s="116"/>
      <c r="F17" s="52"/>
      <c r="G17" s="53"/>
      <c r="H17" s="52"/>
      <c r="I17" s="53"/>
      <c r="J17" s="54"/>
      <c r="K17" s="55"/>
      <c r="L17" s="40">
        <f t="shared" si="1"/>
        <v>0</v>
      </c>
      <c r="M17" s="41">
        <f t="shared" si="23"/>
        <v>0</v>
      </c>
      <c r="N17" s="42">
        <f>IF(AND(D17&lt;&gt;"Jour libre 4/5",B17&lt;&gt;"Sa",B17&lt;&gt;"Di"),SUM(N16,Configuration!$H$41),SUM(N16))</f>
        <v>1.9</v>
      </c>
      <c r="O17" s="49" t="str">
        <f t="shared" si="24"/>
        <v>-</v>
      </c>
      <c r="P17" s="143">
        <f t="shared" si="17"/>
        <v>1.9</v>
      </c>
      <c r="Q17" s="167">
        <f t="shared" si="18"/>
        <v>0</v>
      </c>
      <c r="R17" s="168">
        <f t="shared" si="18"/>
        <v>0</v>
      </c>
      <c r="S17" s="168">
        <f t="shared" si="18"/>
        <v>0</v>
      </c>
      <c r="T17" s="169">
        <f t="shared" si="18"/>
        <v>0</v>
      </c>
      <c r="U17" s="97">
        <f t="shared" si="2"/>
        <v>0</v>
      </c>
      <c r="V17" s="97">
        <f t="shared" si="3"/>
        <v>0</v>
      </c>
      <c r="W17" s="97">
        <f t="shared" si="4"/>
        <v>0</v>
      </c>
      <c r="X17" s="97">
        <f t="shared" si="5"/>
        <v>0</v>
      </c>
      <c r="Y17" s="209"/>
      <c r="Z17" s="210"/>
      <c r="AA17" s="210"/>
      <c r="AB17" s="128">
        <f>IF(AND(D17="Jour férié semaine",((G17-F17)+(I17-H17)+(K17-J17)=0)),VLOOKUP(D17,Systeemgegevens!$J:$K,2,FALSE),0)</f>
        <v>0</v>
      </c>
      <c r="AC17" s="43">
        <f>IF(AND(NOT(ISERROR(FIND("Congé",D17))),ISERROR(FIND("1/2",D17)),ISERROR(FIND("Synd",D17)),ISERROR(FIND("synd",D17)),(G17-F17+I17-H17+K17-J17)=0),VLOOKUP(D17,Systeemgegevens!$J:$K,2,FALSE),IF(AND(NOT(ISERROR(FIND("1/2 Congé + ",D17))),(G17-F17+I17-H17+K17-J17)=0),VLOOKUP(D17,Systeemgegevens!$J:$K,2,FALSE)/2,IF(AND(NOT(ISERROR(FIND("1/2 Congé",D17))),ISERROR(FIND(" + ",D17)),ISERROR(FIND("1/2 Congé Synd.",D17))),VLOOKUP(D17,Systeemgegevens!$J:$K,2,FALSE),0)))</f>
        <v>0</v>
      </c>
      <c r="AD17" s="43">
        <f>IF(AND(OR(D17="1/2 Congé Synd.",D17="Congé Synd."),((G17-F17)+(I17-H17)+(K17-J17)=0)),VLOOKUP(D17,Systeemgegevens!$J:$K,2,FALSE),IF(AND(D17="1/2 Congé + 1/2 synd.",((G17-F17)+(I17-H17)+(K17-J17)=0)),AC17,0))</f>
        <v>0</v>
      </c>
      <c r="AE17" s="43">
        <f>IF(AND(D17="Jour de pont",((G17-F17)+(I17-H17)+(K17-J17)=0)),VLOOKUP(D17,Systeemgegevens!$J:$K,2,FALSE),0)</f>
        <v>0</v>
      </c>
      <c r="AF17" s="43">
        <f>IF(AND(D17="Jour libre 4/5",AND((G17-F17)+(I17-H17)+(K17-J17)=0)),VLOOKUP(D17,Systeemgegevens!$J:$K,2,FALSE),0)</f>
        <v>0</v>
      </c>
      <c r="AG17" s="118">
        <f>IF(AND(D17&lt;&gt;"",SUM(AB17:AF17)=0,D17&lt;&gt;$AB$4,D17&lt;&gt;$AC$4,D17&lt;&gt;$AE$4,D17&lt;&gt;$AF$4),VLOOKUP(D17,Systeemgegevens!$J:$K,2,FALSE),0)</f>
        <v>0</v>
      </c>
      <c r="AH17" s="119">
        <f t="shared" si="6"/>
        <v>0</v>
      </c>
      <c r="AI17" s="101">
        <f t="shared" si="7"/>
        <v>0</v>
      </c>
      <c r="AJ17" s="118">
        <f t="shared" si="19"/>
        <v>0</v>
      </c>
      <c r="AK17" s="119">
        <f t="shared" si="8"/>
        <v>0</v>
      </c>
      <c r="AL17" s="101">
        <f t="shared" si="9"/>
        <v>0</v>
      </c>
      <c r="AM17" s="43">
        <f t="shared" si="20"/>
        <v>0</v>
      </c>
      <c r="AN17" s="118">
        <f t="shared" si="21"/>
        <v>0</v>
      </c>
      <c r="AO17" s="122">
        <f t="shared" si="10"/>
        <v>0</v>
      </c>
      <c r="AP17" s="107">
        <f t="shared" si="11"/>
        <v>0</v>
      </c>
      <c r="AQ17" s="107">
        <f t="shared" si="12"/>
        <v>0</v>
      </c>
      <c r="AR17" s="123">
        <f t="shared" si="13"/>
        <v>0</v>
      </c>
      <c r="AS17" s="124">
        <f t="shared" si="14"/>
        <v>0</v>
      </c>
      <c r="AT17" s="124">
        <f t="shared" si="15"/>
        <v>0</v>
      </c>
      <c r="AU17" s="124">
        <f t="shared" si="16"/>
        <v>0</v>
      </c>
      <c r="AV17" s="117" t="s">
        <v>28</v>
      </c>
      <c r="AW17" s="129">
        <f>IF(($R$41=AV17)*AND($R$42&lt;&gt;""),VLOOKUP($R$42,'Barèmes police'!$AC$4:$AD$30,2),0)</f>
        <v>0</v>
      </c>
      <c r="AX17" s="16" t="str">
        <f>IF('Types de jours'!F23&lt;&gt;"",'Types de jours'!F23,"")</f>
        <v>Jour libre 4/5</v>
      </c>
      <c r="AY17" s="144">
        <f>IF(AX17&lt;&gt;"",'Types de jours'!I23,"")</f>
        <v>0</v>
      </c>
      <c r="AZ17" s="269"/>
      <c r="BA17" s="154"/>
      <c r="BB17" s="154"/>
      <c r="BC17" s="154"/>
      <c r="BD17" s="154"/>
      <c r="BE17" s="154"/>
      <c r="BF17" s="154"/>
    </row>
    <row r="18" spans="1:58" ht="12.75" customHeight="1" x14ac:dyDescent="0.2">
      <c r="A18" s="34"/>
      <c r="B18" s="24" t="str">
        <f t="shared" si="0"/>
        <v>Lu</v>
      </c>
      <c r="C18" s="25">
        <f t="shared" si="22"/>
        <v>45362</v>
      </c>
      <c r="D18" s="51"/>
      <c r="E18" s="116"/>
      <c r="F18" s="52"/>
      <c r="G18" s="53"/>
      <c r="H18" s="52"/>
      <c r="I18" s="53"/>
      <c r="J18" s="54"/>
      <c r="K18" s="55"/>
      <c r="L18" s="40">
        <f t="shared" si="1"/>
        <v>0</v>
      </c>
      <c r="M18" s="41">
        <f t="shared" si="23"/>
        <v>0</v>
      </c>
      <c r="N18" s="42">
        <f>IF(AND(D18&lt;&gt;"Jour libre 4/5",B18&lt;&gt;"Sa",B18&lt;&gt;"Di"),SUM(N17,Configuration!$H$41),SUM(N17))</f>
        <v>2.2166666666666668</v>
      </c>
      <c r="O18" s="49" t="str">
        <f t="shared" si="24"/>
        <v>-</v>
      </c>
      <c r="P18" s="143">
        <f t="shared" si="17"/>
        <v>2.2166666666666668</v>
      </c>
      <c r="Q18" s="167">
        <f t="shared" si="18"/>
        <v>0</v>
      </c>
      <c r="R18" s="168">
        <f t="shared" si="18"/>
        <v>0</v>
      </c>
      <c r="S18" s="168">
        <f t="shared" si="18"/>
        <v>0</v>
      </c>
      <c r="T18" s="169">
        <f t="shared" si="18"/>
        <v>0</v>
      </c>
      <c r="U18" s="97">
        <f t="shared" si="2"/>
        <v>0</v>
      </c>
      <c r="V18" s="97">
        <f t="shared" si="3"/>
        <v>0</v>
      </c>
      <c r="W18" s="97">
        <f t="shared" si="4"/>
        <v>0</v>
      </c>
      <c r="X18" s="97">
        <f t="shared" si="5"/>
        <v>0</v>
      </c>
      <c r="Y18" s="209"/>
      <c r="Z18" s="210"/>
      <c r="AA18" s="210"/>
      <c r="AB18" s="128">
        <f>IF(AND(D18="Jour férié semaine",((G18-F18)+(I18-H18)+(K18-J18)=0)),VLOOKUP(D18,Systeemgegevens!$J:$K,2,FALSE),0)</f>
        <v>0</v>
      </c>
      <c r="AC18" s="43">
        <f>IF(AND(NOT(ISERROR(FIND("Congé",D18))),ISERROR(FIND("1/2",D18)),ISERROR(FIND("Synd",D18)),ISERROR(FIND("synd",D18)),(G18-F18+I18-H18+K18-J18)=0),VLOOKUP(D18,Systeemgegevens!$J:$K,2,FALSE),IF(AND(NOT(ISERROR(FIND("1/2 Congé + ",D18))),(G18-F18+I18-H18+K18-J18)=0),VLOOKUP(D18,Systeemgegevens!$J:$K,2,FALSE)/2,IF(AND(NOT(ISERROR(FIND("1/2 Congé",D18))),ISERROR(FIND(" + ",D18)),ISERROR(FIND("1/2 Congé Synd.",D18))),VLOOKUP(D18,Systeemgegevens!$J:$K,2,FALSE),0)))</f>
        <v>0</v>
      </c>
      <c r="AD18" s="43">
        <f>IF(AND(OR(D18="1/2 Congé Synd.",D18="Congé Synd."),((G18-F18)+(I18-H18)+(K18-J18)=0)),VLOOKUP(D18,Systeemgegevens!$J:$K,2,FALSE),IF(AND(D18="1/2 Congé + 1/2 synd.",((G18-F18)+(I18-H18)+(K18-J18)=0)),AC18,0))</f>
        <v>0</v>
      </c>
      <c r="AE18" s="43">
        <f>IF(AND(D18="Jour de pont",((G18-F18)+(I18-H18)+(K18-J18)=0)),VLOOKUP(D18,Systeemgegevens!$J:$K,2,FALSE),0)</f>
        <v>0</v>
      </c>
      <c r="AF18" s="43">
        <f>IF(AND(D18="Jour libre 4/5",AND((G18-F18)+(I18-H18)+(K18-J18)=0)),VLOOKUP(D18,Systeemgegevens!$J:$K,2,FALSE),0)</f>
        <v>0</v>
      </c>
      <c r="AG18" s="118">
        <f>IF(AND(D18&lt;&gt;"",SUM(AB18:AF18)=0,D18&lt;&gt;$AB$4,D18&lt;&gt;$AC$4,D18&lt;&gt;$AE$4,D18&lt;&gt;$AF$4),VLOOKUP(D18,Systeemgegevens!$J:$K,2,FALSE),0)</f>
        <v>0</v>
      </c>
      <c r="AH18" s="119">
        <f t="shared" si="6"/>
        <v>0</v>
      </c>
      <c r="AI18" s="101">
        <f t="shared" si="7"/>
        <v>0</v>
      </c>
      <c r="AJ18" s="118">
        <f t="shared" si="19"/>
        <v>0</v>
      </c>
      <c r="AK18" s="119">
        <f t="shared" si="8"/>
        <v>0</v>
      </c>
      <c r="AL18" s="101">
        <f t="shared" si="9"/>
        <v>0</v>
      </c>
      <c r="AM18" s="43">
        <f t="shared" si="20"/>
        <v>0</v>
      </c>
      <c r="AN18" s="118">
        <f t="shared" si="21"/>
        <v>0</v>
      </c>
      <c r="AO18" s="122">
        <f t="shared" si="10"/>
        <v>0</v>
      </c>
      <c r="AP18" s="107">
        <f t="shared" si="11"/>
        <v>0</v>
      </c>
      <c r="AQ18" s="107">
        <f t="shared" si="12"/>
        <v>0</v>
      </c>
      <c r="AR18" s="123">
        <f t="shared" si="13"/>
        <v>0</v>
      </c>
      <c r="AS18" s="124">
        <f t="shared" si="14"/>
        <v>0</v>
      </c>
      <c r="AT18" s="124">
        <f t="shared" si="15"/>
        <v>0</v>
      </c>
      <c r="AU18" s="124">
        <f t="shared" si="16"/>
        <v>0</v>
      </c>
      <c r="AV18" s="117" t="s">
        <v>27</v>
      </c>
      <c r="AW18" s="129">
        <f>IF(($R$41=AV18)*AND($R$42&lt;&gt;""),VLOOKUP($R$42,'Barèmes police'!$AF$4:$AG$30,2),0)</f>
        <v>0</v>
      </c>
      <c r="AX18" s="16" t="str">
        <f>IF('Types de jours'!F24&lt;&gt;"",'Types de jours'!F24,"")</f>
        <v>Jour de pont</v>
      </c>
      <c r="AY18" s="144">
        <f>IF(AX18&lt;&gt;"",'Types de jours'!I24,"")</f>
        <v>0.31666666666666665</v>
      </c>
      <c r="AZ18" s="269"/>
      <c r="BA18" s="154"/>
      <c r="BB18" s="154"/>
      <c r="BC18" s="154"/>
      <c r="BD18" s="154"/>
      <c r="BE18" s="154"/>
      <c r="BF18" s="154"/>
    </row>
    <row r="19" spans="1:58" ht="12.75" customHeight="1" x14ac:dyDescent="0.2">
      <c r="A19" s="34"/>
      <c r="B19" s="24" t="str">
        <f t="shared" si="0"/>
        <v>Ma</v>
      </c>
      <c r="C19" s="25">
        <f t="shared" si="22"/>
        <v>45363</v>
      </c>
      <c r="D19" s="51"/>
      <c r="E19" s="116"/>
      <c r="F19" s="52"/>
      <c r="G19" s="53"/>
      <c r="H19" s="52"/>
      <c r="I19" s="53"/>
      <c r="J19" s="54"/>
      <c r="K19" s="55"/>
      <c r="L19" s="40">
        <f t="shared" si="1"/>
        <v>0</v>
      </c>
      <c r="M19" s="41">
        <f t="shared" si="23"/>
        <v>0</v>
      </c>
      <c r="N19" s="42">
        <f>IF(AND(D19&lt;&gt;"Jour libre 4/5",B19&lt;&gt;"Sa",B19&lt;&gt;"Di"),SUM(N18,Configuration!$H$41),SUM(N18))</f>
        <v>2.5333333333333332</v>
      </c>
      <c r="O19" s="49" t="str">
        <f t="shared" si="24"/>
        <v>-</v>
      </c>
      <c r="P19" s="143">
        <f t="shared" si="17"/>
        <v>2.5333333333333332</v>
      </c>
      <c r="Q19" s="167">
        <f t="shared" si="18"/>
        <v>0</v>
      </c>
      <c r="R19" s="168">
        <f t="shared" si="18"/>
        <v>0</v>
      </c>
      <c r="S19" s="168">
        <f t="shared" si="18"/>
        <v>0</v>
      </c>
      <c r="T19" s="169">
        <f t="shared" si="18"/>
        <v>0</v>
      </c>
      <c r="U19" s="97">
        <f t="shared" si="2"/>
        <v>0</v>
      </c>
      <c r="V19" s="97">
        <f t="shared" si="3"/>
        <v>0</v>
      </c>
      <c r="W19" s="97">
        <f t="shared" si="4"/>
        <v>0</v>
      </c>
      <c r="X19" s="97">
        <f t="shared" si="5"/>
        <v>0</v>
      </c>
      <c r="Y19" s="209"/>
      <c r="Z19" s="210"/>
      <c r="AA19" s="210"/>
      <c r="AB19" s="128">
        <f>IF(AND(D19="Jour férié semaine",((G19-F19)+(I19-H19)+(K19-J19)=0)),VLOOKUP(D19,Systeemgegevens!$J:$K,2,FALSE),0)</f>
        <v>0</v>
      </c>
      <c r="AC19" s="43">
        <f>IF(AND(NOT(ISERROR(FIND("Congé",D19))),ISERROR(FIND("1/2",D19)),ISERROR(FIND("Synd",D19)),ISERROR(FIND("synd",D19)),(G19-F19+I19-H19+K19-J19)=0),VLOOKUP(D19,Systeemgegevens!$J:$K,2,FALSE),IF(AND(NOT(ISERROR(FIND("1/2 Congé + ",D19))),(G19-F19+I19-H19+K19-J19)=0),VLOOKUP(D19,Systeemgegevens!$J:$K,2,FALSE)/2,IF(AND(NOT(ISERROR(FIND("1/2 Congé",D19))),ISERROR(FIND(" + ",D19)),ISERROR(FIND("1/2 Congé Synd.",D19))),VLOOKUP(D19,Systeemgegevens!$J:$K,2,FALSE),0)))</f>
        <v>0</v>
      </c>
      <c r="AD19" s="43">
        <f>IF(AND(OR(D19="1/2 Congé Synd.",D19="Congé Synd."),((G19-F19)+(I19-H19)+(K19-J19)=0)),VLOOKUP(D19,Systeemgegevens!$J:$K,2,FALSE),IF(AND(D19="1/2 Congé + 1/2 synd.",((G19-F19)+(I19-H19)+(K19-J19)=0)),AC19,0))</f>
        <v>0</v>
      </c>
      <c r="AE19" s="43">
        <f>IF(AND(D19="Jour de pont",((G19-F19)+(I19-H19)+(K19-J19)=0)),VLOOKUP(D19,Systeemgegevens!$J:$K,2,FALSE),0)</f>
        <v>0</v>
      </c>
      <c r="AF19" s="43">
        <f>IF(AND(D19="Jour libre 4/5",AND((G19-F19)+(I19-H19)+(K19-J19)=0)),VLOOKUP(D19,Systeemgegevens!$J:$K,2,FALSE),0)</f>
        <v>0</v>
      </c>
      <c r="AG19" s="118">
        <f>IF(AND(D19&lt;&gt;"",SUM(AB19:AF19)=0,D19&lt;&gt;$AB$4,D19&lt;&gt;$AC$4,D19&lt;&gt;$AE$4,D19&lt;&gt;$AF$4),VLOOKUP(D19,Systeemgegevens!$J:$K,2,FALSE),0)</f>
        <v>0</v>
      </c>
      <c r="AH19" s="119">
        <f t="shared" si="6"/>
        <v>0</v>
      </c>
      <c r="AI19" s="101">
        <f t="shared" si="7"/>
        <v>0</v>
      </c>
      <c r="AJ19" s="118">
        <f t="shared" si="19"/>
        <v>0</v>
      </c>
      <c r="AK19" s="119">
        <f t="shared" si="8"/>
        <v>0</v>
      </c>
      <c r="AL19" s="101">
        <f t="shared" si="9"/>
        <v>0</v>
      </c>
      <c r="AM19" s="43">
        <f t="shared" si="20"/>
        <v>0</v>
      </c>
      <c r="AN19" s="118">
        <f t="shared" si="21"/>
        <v>0</v>
      </c>
      <c r="AO19" s="122">
        <f t="shared" si="10"/>
        <v>0</v>
      </c>
      <c r="AP19" s="107">
        <f t="shared" si="11"/>
        <v>0</v>
      </c>
      <c r="AQ19" s="107">
        <f t="shared" si="12"/>
        <v>0</v>
      </c>
      <c r="AR19" s="123">
        <f t="shared" si="13"/>
        <v>0</v>
      </c>
      <c r="AS19" s="124">
        <f t="shared" si="14"/>
        <v>0</v>
      </c>
      <c r="AT19" s="124">
        <f t="shared" si="15"/>
        <v>0</v>
      </c>
      <c r="AU19" s="124">
        <f t="shared" si="16"/>
        <v>0</v>
      </c>
      <c r="AV19" s="117" t="s">
        <v>26</v>
      </c>
      <c r="AW19" s="129">
        <f>IF(($R$41=AV19)*AND($R$42&lt;&gt;""),VLOOKUP($R$42,'Barèmes police'!$AI$4:$AJ$30,2),0)</f>
        <v>0</v>
      </c>
      <c r="AX19" s="16" t="str">
        <f>IF('Types de jours'!F25&lt;&gt;"",'Types de jours'!F25,"")</f>
        <v>Congé 12h</v>
      </c>
      <c r="AY19" s="144">
        <f>IF(AX19&lt;&gt;"",'Types de jours'!I25,"")</f>
        <v>0.5</v>
      </c>
      <c r="AZ19" s="269"/>
      <c r="BA19" s="154"/>
      <c r="BB19" s="154"/>
      <c r="BC19" s="154"/>
      <c r="BD19" s="154"/>
      <c r="BE19" s="154"/>
      <c r="BF19" s="154"/>
    </row>
    <row r="20" spans="1:58" ht="12.75" customHeight="1" x14ac:dyDescent="0.2">
      <c r="A20" s="34"/>
      <c r="B20" s="24" t="str">
        <f t="shared" si="0"/>
        <v>Me</v>
      </c>
      <c r="C20" s="25">
        <f t="shared" si="22"/>
        <v>45364</v>
      </c>
      <c r="D20" s="51"/>
      <c r="E20" s="116"/>
      <c r="F20" s="52"/>
      <c r="G20" s="53"/>
      <c r="H20" s="52"/>
      <c r="I20" s="53"/>
      <c r="J20" s="54"/>
      <c r="K20" s="55"/>
      <c r="L20" s="40">
        <f t="shared" si="1"/>
        <v>0</v>
      </c>
      <c r="M20" s="41">
        <f t="shared" si="23"/>
        <v>0</v>
      </c>
      <c r="N20" s="42">
        <f>IF(AND(D20&lt;&gt;"Jour libre 4/5",B20&lt;&gt;"Sa",B20&lt;&gt;"Di"),SUM(N19,Configuration!$H$41),SUM(N19))</f>
        <v>2.8499999999999996</v>
      </c>
      <c r="O20" s="49" t="str">
        <f t="shared" si="24"/>
        <v>-</v>
      </c>
      <c r="P20" s="143">
        <f t="shared" si="17"/>
        <v>2.8499999999999996</v>
      </c>
      <c r="Q20" s="167">
        <f t="shared" si="18"/>
        <v>0</v>
      </c>
      <c r="R20" s="168">
        <f t="shared" si="18"/>
        <v>0</v>
      </c>
      <c r="S20" s="168">
        <f t="shared" si="18"/>
        <v>0</v>
      </c>
      <c r="T20" s="169">
        <f t="shared" si="18"/>
        <v>0</v>
      </c>
      <c r="U20" s="97">
        <f t="shared" si="2"/>
        <v>0</v>
      </c>
      <c r="V20" s="97">
        <f t="shared" si="3"/>
        <v>0</v>
      </c>
      <c r="W20" s="97">
        <f t="shared" si="4"/>
        <v>0</v>
      </c>
      <c r="X20" s="97">
        <f t="shared" si="5"/>
        <v>0</v>
      </c>
      <c r="Y20" s="209"/>
      <c r="Z20" s="210"/>
      <c r="AA20" s="210"/>
      <c r="AB20" s="128">
        <f>IF(AND(D20="Jour férié semaine",((G20-F20)+(I20-H20)+(K20-J20)=0)),VLOOKUP(D20,Systeemgegevens!$J:$K,2,FALSE),0)</f>
        <v>0</v>
      </c>
      <c r="AC20" s="43">
        <f>IF(AND(NOT(ISERROR(FIND("Congé",D20))),ISERROR(FIND("1/2",D20)),ISERROR(FIND("Synd",D20)),ISERROR(FIND("synd",D20)),(G20-F20+I20-H20+K20-J20)=0),VLOOKUP(D20,Systeemgegevens!$J:$K,2,FALSE),IF(AND(NOT(ISERROR(FIND("1/2 Congé + ",D20))),(G20-F20+I20-H20+K20-J20)=0),VLOOKUP(D20,Systeemgegevens!$J:$K,2,FALSE)/2,IF(AND(NOT(ISERROR(FIND("1/2 Congé",D20))),ISERROR(FIND(" + ",D20)),ISERROR(FIND("1/2 Congé Synd.",D20))),VLOOKUP(D20,Systeemgegevens!$J:$K,2,FALSE),0)))</f>
        <v>0</v>
      </c>
      <c r="AD20" s="43">
        <f>IF(AND(OR(D20="1/2 Congé Synd.",D20="Congé Synd."),((G20-F20)+(I20-H20)+(K20-J20)=0)),VLOOKUP(D20,Systeemgegevens!$J:$K,2,FALSE),IF(AND(D20="1/2 Congé + 1/2 synd.",((G20-F20)+(I20-H20)+(K20-J20)=0)),AC20,0))</f>
        <v>0</v>
      </c>
      <c r="AE20" s="43">
        <f>IF(AND(D20="Jour de pont",((G20-F20)+(I20-H20)+(K20-J20)=0)),VLOOKUP(D20,Systeemgegevens!$J:$K,2,FALSE),0)</f>
        <v>0</v>
      </c>
      <c r="AF20" s="43">
        <f>IF(AND(D20="Jour libre 4/5",AND((G20-F20)+(I20-H20)+(K20-J20)=0)),VLOOKUP(D20,Systeemgegevens!$J:$K,2,FALSE),0)</f>
        <v>0</v>
      </c>
      <c r="AG20" s="118">
        <f>IF(AND(D20&lt;&gt;"",SUM(AB20:AF20)=0,D20&lt;&gt;$AB$4,D20&lt;&gt;$AC$4,D20&lt;&gt;$AE$4,D20&lt;&gt;$AF$4),VLOOKUP(D20,Systeemgegevens!$J:$K,2,FALSE),0)</f>
        <v>0</v>
      </c>
      <c r="AH20" s="119">
        <f t="shared" si="6"/>
        <v>0</v>
      </c>
      <c r="AI20" s="101">
        <f t="shared" si="7"/>
        <v>0</v>
      </c>
      <c r="AJ20" s="118">
        <f t="shared" si="19"/>
        <v>0</v>
      </c>
      <c r="AK20" s="119">
        <f t="shared" si="8"/>
        <v>0</v>
      </c>
      <c r="AL20" s="101">
        <f t="shared" si="9"/>
        <v>0</v>
      </c>
      <c r="AM20" s="43">
        <f t="shared" si="20"/>
        <v>0</v>
      </c>
      <c r="AN20" s="118">
        <f t="shared" si="21"/>
        <v>0</v>
      </c>
      <c r="AO20" s="122">
        <f t="shared" si="10"/>
        <v>0</v>
      </c>
      <c r="AP20" s="107">
        <f t="shared" si="11"/>
        <v>0</v>
      </c>
      <c r="AQ20" s="107">
        <f t="shared" si="12"/>
        <v>0</v>
      </c>
      <c r="AR20" s="123">
        <f t="shared" si="13"/>
        <v>0</v>
      </c>
      <c r="AS20" s="124">
        <f t="shared" si="14"/>
        <v>0</v>
      </c>
      <c r="AT20" s="124">
        <f t="shared" si="15"/>
        <v>0</v>
      </c>
      <c r="AU20" s="124">
        <f t="shared" si="16"/>
        <v>0</v>
      </c>
      <c r="AV20" s="117" t="s">
        <v>25</v>
      </c>
      <c r="AW20" s="129">
        <f>IF(($R$41=AV20)*AND($R$42&lt;&gt;""),VLOOKUP($R$42,'Barèmes police'!$AL$4:$AM$30,2),0)</f>
        <v>0</v>
      </c>
      <c r="AX20" s="16" t="str">
        <f>IF('Types de jours'!F26&lt;&gt;"",'Types de jours'!F26,"")</f>
        <v/>
      </c>
      <c r="AY20" s="144" t="str">
        <f>IF(AX20&lt;&gt;"",'Types de jours'!I26,"")</f>
        <v/>
      </c>
      <c r="AZ20" s="269"/>
      <c r="BA20" s="154"/>
      <c r="BB20" s="154"/>
      <c r="BC20" s="154"/>
      <c r="BD20" s="154"/>
      <c r="BE20" s="154"/>
      <c r="BF20" s="154"/>
    </row>
    <row r="21" spans="1:58" ht="12.75" customHeight="1" x14ac:dyDescent="0.2">
      <c r="A21" s="34"/>
      <c r="B21" s="24" t="str">
        <f t="shared" si="0"/>
        <v>Je</v>
      </c>
      <c r="C21" s="25">
        <f t="shared" si="22"/>
        <v>45365</v>
      </c>
      <c r="D21" s="51"/>
      <c r="E21" s="116"/>
      <c r="F21" s="52"/>
      <c r="G21" s="53"/>
      <c r="H21" s="52"/>
      <c r="I21" s="53"/>
      <c r="J21" s="54"/>
      <c r="K21" s="55"/>
      <c r="L21" s="40">
        <f t="shared" si="1"/>
        <v>0</v>
      </c>
      <c r="M21" s="41">
        <f t="shared" si="23"/>
        <v>0</v>
      </c>
      <c r="N21" s="42">
        <f>IF(AND(D21&lt;&gt;"Jour libre 4/5",B21&lt;&gt;"Sa",B21&lt;&gt;"Di"),SUM(N20,Configuration!$H$41),SUM(N20))</f>
        <v>3.1666666666666661</v>
      </c>
      <c r="O21" s="49" t="str">
        <f t="shared" si="24"/>
        <v>-</v>
      </c>
      <c r="P21" s="143">
        <f t="shared" si="17"/>
        <v>3.1666666666666661</v>
      </c>
      <c r="Q21" s="167">
        <f t="shared" si="18"/>
        <v>0</v>
      </c>
      <c r="R21" s="168">
        <f t="shared" si="18"/>
        <v>0</v>
      </c>
      <c r="S21" s="168">
        <f t="shared" si="18"/>
        <v>0</v>
      </c>
      <c r="T21" s="169">
        <f t="shared" si="18"/>
        <v>0</v>
      </c>
      <c r="U21" s="97">
        <f t="shared" si="2"/>
        <v>0</v>
      </c>
      <c r="V21" s="97">
        <f t="shared" si="3"/>
        <v>0</v>
      </c>
      <c r="W21" s="97">
        <f t="shared" si="4"/>
        <v>0</v>
      </c>
      <c r="X21" s="97">
        <f t="shared" si="5"/>
        <v>0</v>
      </c>
      <c r="Y21" s="209"/>
      <c r="Z21" s="210"/>
      <c r="AA21" s="210"/>
      <c r="AB21" s="128">
        <f>IF(AND(D21="Jour férié semaine",((G21-F21)+(I21-H21)+(K21-J21)=0)),VLOOKUP(D21,Systeemgegevens!$J:$K,2,FALSE),0)</f>
        <v>0</v>
      </c>
      <c r="AC21" s="43">
        <f>IF(AND(NOT(ISERROR(FIND("Congé",D21))),ISERROR(FIND("1/2",D21)),ISERROR(FIND("Synd",D21)),ISERROR(FIND("synd",D21)),(G21-F21+I21-H21+K21-J21)=0),VLOOKUP(D21,Systeemgegevens!$J:$K,2,FALSE),IF(AND(NOT(ISERROR(FIND("1/2 Congé + ",D21))),(G21-F21+I21-H21+K21-J21)=0),VLOOKUP(D21,Systeemgegevens!$J:$K,2,FALSE)/2,IF(AND(NOT(ISERROR(FIND("1/2 Congé",D21))),ISERROR(FIND(" + ",D21)),ISERROR(FIND("1/2 Congé Synd.",D21))),VLOOKUP(D21,Systeemgegevens!$J:$K,2,FALSE),0)))</f>
        <v>0</v>
      </c>
      <c r="AD21" s="43">
        <f>IF(AND(OR(D21="1/2 Congé Synd.",D21="Congé Synd."),((G21-F21)+(I21-H21)+(K21-J21)=0)),VLOOKUP(D21,Systeemgegevens!$J:$K,2,FALSE),IF(AND(D21="1/2 Congé + 1/2 synd.",((G21-F21)+(I21-H21)+(K21-J21)=0)),AC21,0))</f>
        <v>0</v>
      </c>
      <c r="AE21" s="43">
        <f>IF(AND(D21="Jour de pont",((G21-F21)+(I21-H21)+(K21-J21)=0)),VLOOKUP(D21,Systeemgegevens!$J:$K,2,FALSE),0)</f>
        <v>0</v>
      </c>
      <c r="AF21" s="43">
        <f>IF(AND(D21="Jour libre 4/5",AND((G21-F21)+(I21-H21)+(K21-J21)=0)),VLOOKUP(D21,Systeemgegevens!$J:$K,2,FALSE),0)</f>
        <v>0</v>
      </c>
      <c r="AG21" s="118">
        <f>IF(AND(D21&lt;&gt;"",SUM(AB21:AF21)=0,D21&lt;&gt;$AB$4,D21&lt;&gt;$AC$4,D21&lt;&gt;$AE$4,D21&lt;&gt;$AF$4),VLOOKUP(D21,Systeemgegevens!$J:$K,2,FALSE),0)</f>
        <v>0</v>
      </c>
      <c r="AH21" s="119">
        <f t="shared" si="6"/>
        <v>0</v>
      </c>
      <c r="AI21" s="101">
        <f t="shared" si="7"/>
        <v>0</v>
      </c>
      <c r="AJ21" s="118">
        <f t="shared" si="19"/>
        <v>0</v>
      </c>
      <c r="AK21" s="119">
        <f t="shared" si="8"/>
        <v>0</v>
      </c>
      <c r="AL21" s="101">
        <f t="shared" si="9"/>
        <v>0</v>
      </c>
      <c r="AM21" s="43">
        <f t="shared" si="20"/>
        <v>0</v>
      </c>
      <c r="AN21" s="118">
        <f t="shared" si="21"/>
        <v>0</v>
      </c>
      <c r="AO21" s="122">
        <f t="shared" si="10"/>
        <v>0</v>
      </c>
      <c r="AP21" s="107">
        <f t="shared" si="11"/>
        <v>0</v>
      </c>
      <c r="AQ21" s="107">
        <f t="shared" si="12"/>
        <v>0</v>
      </c>
      <c r="AR21" s="123">
        <f t="shared" si="13"/>
        <v>0</v>
      </c>
      <c r="AS21" s="124">
        <f t="shared" si="14"/>
        <v>0</v>
      </c>
      <c r="AT21" s="124">
        <f t="shared" si="15"/>
        <v>0</v>
      </c>
      <c r="AU21" s="124">
        <f t="shared" si="16"/>
        <v>0</v>
      </c>
      <c r="AV21" s="117" t="s">
        <v>24</v>
      </c>
      <c r="AW21" s="129">
        <f>IF(($R$41=AV21)*AND($R$42&lt;&gt;""),VLOOKUP($R$42,'Barèmes police'!$AO$4:$AP$30,2),0)</f>
        <v>0</v>
      </c>
      <c r="AX21" s="16" t="str">
        <f>IF('Types de jours'!F27&lt;&gt;"",'Types de jours'!F27,"")</f>
        <v/>
      </c>
      <c r="AY21" s="144" t="str">
        <f>IF(AX21&lt;&gt;"",'Types de jours'!I27,"")</f>
        <v/>
      </c>
      <c r="AZ21" s="269"/>
      <c r="BA21" s="154"/>
      <c r="BB21" s="154"/>
      <c r="BC21" s="154"/>
      <c r="BD21" s="154"/>
      <c r="BE21" s="154"/>
      <c r="BF21" s="154"/>
    </row>
    <row r="22" spans="1:58" ht="12.75" customHeight="1" x14ac:dyDescent="0.2">
      <c r="A22" s="34"/>
      <c r="B22" s="24" t="str">
        <f t="shared" si="0"/>
        <v>Ve</v>
      </c>
      <c r="C22" s="25">
        <f t="shared" si="22"/>
        <v>45366</v>
      </c>
      <c r="D22" s="51"/>
      <c r="E22" s="116"/>
      <c r="F22" s="52"/>
      <c r="G22" s="53"/>
      <c r="H22" s="52"/>
      <c r="I22" s="53"/>
      <c r="J22" s="54"/>
      <c r="K22" s="55"/>
      <c r="L22" s="40">
        <f t="shared" si="1"/>
        <v>0</v>
      </c>
      <c r="M22" s="41">
        <f t="shared" si="23"/>
        <v>0</v>
      </c>
      <c r="N22" s="42">
        <f>IF(AND(D22&lt;&gt;"Jour libre 4/5",B22&lt;&gt;"Sa",B22&lt;&gt;"Di"),SUM(N21,Configuration!$H$41),SUM(N21))</f>
        <v>3.4833333333333325</v>
      </c>
      <c r="O22" s="49" t="str">
        <f t="shared" si="24"/>
        <v>-</v>
      </c>
      <c r="P22" s="143">
        <f t="shared" si="17"/>
        <v>3.4833333333333325</v>
      </c>
      <c r="Q22" s="167">
        <f t="shared" si="18"/>
        <v>0</v>
      </c>
      <c r="R22" s="168">
        <f t="shared" si="18"/>
        <v>0</v>
      </c>
      <c r="S22" s="168">
        <f t="shared" si="18"/>
        <v>0</v>
      </c>
      <c r="T22" s="169">
        <f t="shared" si="18"/>
        <v>0</v>
      </c>
      <c r="U22" s="97">
        <f t="shared" si="2"/>
        <v>0</v>
      </c>
      <c r="V22" s="97">
        <f t="shared" si="3"/>
        <v>0</v>
      </c>
      <c r="W22" s="97">
        <f t="shared" si="4"/>
        <v>0</v>
      </c>
      <c r="X22" s="97">
        <f t="shared" si="5"/>
        <v>0</v>
      </c>
      <c r="Y22" s="209"/>
      <c r="Z22" s="210"/>
      <c r="AA22" s="210"/>
      <c r="AB22" s="128">
        <f>IF(AND(D22="Jour férié semaine",((G22-F22)+(I22-H22)+(K22-J22)=0)),VLOOKUP(D22,Systeemgegevens!$J:$K,2,FALSE),0)</f>
        <v>0</v>
      </c>
      <c r="AC22" s="43">
        <f>IF(AND(NOT(ISERROR(FIND("Congé",D22))),ISERROR(FIND("1/2",D22)),ISERROR(FIND("Synd",D22)),ISERROR(FIND("synd",D22)),(G22-F22+I22-H22+K22-J22)=0),VLOOKUP(D22,Systeemgegevens!$J:$K,2,FALSE),IF(AND(NOT(ISERROR(FIND("1/2 Congé + ",D22))),(G22-F22+I22-H22+K22-J22)=0),VLOOKUP(D22,Systeemgegevens!$J:$K,2,FALSE)/2,IF(AND(NOT(ISERROR(FIND("1/2 Congé",D22))),ISERROR(FIND(" + ",D22)),ISERROR(FIND("1/2 Congé Synd.",D22))),VLOOKUP(D22,Systeemgegevens!$J:$K,2,FALSE),0)))</f>
        <v>0</v>
      </c>
      <c r="AD22" s="43">
        <f>IF(AND(OR(D22="1/2 Congé Synd.",D22="Congé Synd."),((G22-F22)+(I22-H22)+(K22-J22)=0)),VLOOKUP(D22,Systeemgegevens!$J:$K,2,FALSE),IF(AND(D22="1/2 Congé + 1/2 synd.",((G22-F22)+(I22-H22)+(K22-J22)=0)),AC22,0))</f>
        <v>0</v>
      </c>
      <c r="AE22" s="43">
        <f>IF(AND(D22="Jour de pont",((G22-F22)+(I22-H22)+(K22-J22)=0)),VLOOKUP(D22,Systeemgegevens!$J:$K,2,FALSE),0)</f>
        <v>0</v>
      </c>
      <c r="AF22" s="43">
        <f>IF(AND(D22="Jour libre 4/5",AND((G22-F22)+(I22-H22)+(K22-J22)=0)),VLOOKUP(D22,Systeemgegevens!$J:$K,2,FALSE),0)</f>
        <v>0</v>
      </c>
      <c r="AG22" s="118">
        <f>IF(AND(D22&lt;&gt;"",SUM(AB22:AF22)=0,D22&lt;&gt;$AB$4,D22&lt;&gt;$AC$4,D22&lt;&gt;$AE$4,D22&lt;&gt;$AF$4),VLOOKUP(D22,Systeemgegevens!$J:$K,2,FALSE),0)</f>
        <v>0</v>
      </c>
      <c r="AH22" s="119">
        <f t="shared" si="6"/>
        <v>0</v>
      </c>
      <c r="AI22" s="101">
        <f t="shared" si="7"/>
        <v>0</v>
      </c>
      <c r="AJ22" s="118">
        <f t="shared" si="19"/>
        <v>0</v>
      </c>
      <c r="AK22" s="119">
        <f t="shared" si="8"/>
        <v>0</v>
      </c>
      <c r="AL22" s="101">
        <f t="shared" si="9"/>
        <v>0</v>
      </c>
      <c r="AM22" s="43">
        <f t="shared" si="20"/>
        <v>0</v>
      </c>
      <c r="AN22" s="118">
        <f t="shared" si="21"/>
        <v>0</v>
      </c>
      <c r="AO22" s="122">
        <f t="shared" si="10"/>
        <v>0</v>
      </c>
      <c r="AP22" s="107">
        <f t="shared" si="11"/>
        <v>0</v>
      </c>
      <c r="AQ22" s="107">
        <f t="shared" si="12"/>
        <v>0</v>
      </c>
      <c r="AR22" s="123">
        <f t="shared" si="13"/>
        <v>0</v>
      </c>
      <c r="AS22" s="124">
        <f t="shared" si="14"/>
        <v>0</v>
      </c>
      <c r="AT22" s="124">
        <f t="shared" si="15"/>
        <v>0</v>
      </c>
      <c r="AU22" s="124">
        <f t="shared" si="16"/>
        <v>0</v>
      </c>
      <c r="AV22" s="117" t="s">
        <v>23</v>
      </c>
      <c r="AW22" s="129">
        <f>IF(($R$41=AV22)*AND($R$42&lt;&gt;""),VLOOKUP($R$42,'Barèmes police'!$AR$4:$AS$30,2),0)</f>
        <v>0</v>
      </c>
      <c r="AX22" s="16" t="str">
        <f>IF('Types de jours'!F28&lt;&gt;"",'Types de jours'!F28,"")</f>
        <v/>
      </c>
      <c r="AY22" s="144" t="str">
        <f>IF(AX22&lt;&gt;"",'Types de jours'!I28,"")</f>
        <v/>
      </c>
      <c r="AZ22" s="269"/>
      <c r="BA22" s="154"/>
      <c r="BB22" s="154"/>
      <c r="BC22" s="154"/>
      <c r="BD22" s="154"/>
      <c r="BE22" s="154"/>
      <c r="BF22" s="154"/>
    </row>
    <row r="23" spans="1:58" ht="12.75" customHeight="1" x14ac:dyDescent="0.2">
      <c r="A23" s="34"/>
      <c r="B23" s="24" t="str">
        <f t="shared" si="0"/>
        <v>Sa</v>
      </c>
      <c r="C23" s="25">
        <f t="shared" si="22"/>
        <v>45367</v>
      </c>
      <c r="D23" s="51"/>
      <c r="E23" s="116"/>
      <c r="F23" s="52"/>
      <c r="G23" s="53"/>
      <c r="H23" s="52"/>
      <c r="I23" s="53"/>
      <c r="J23" s="54"/>
      <c r="K23" s="55"/>
      <c r="L23" s="40">
        <f t="shared" si="1"/>
        <v>0</v>
      </c>
      <c r="M23" s="41">
        <f t="shared" si="23"/>
        <v>0</v>
      </c>
      <c r="N23" s="42">
        <f>IF(AND(D23&lt;&gt;"Jour libre 4/5",B23&lt;&gt;"Sa",B23&lt;&gt;"Di"),SUM(N22,Configuration!$H$41),SUM(N22))</f>
        <v>3.4833333333333325</v>
      </c>
      <c r="O23" s="49" t="str">
        <f t="shared" si="24"/>
        <v>-</v>
      </c>
      <c r="P23" s="143">
        <f t="shared" si="17"/>
        <v>3.4833333333333325</v>
      </c>
      <c r="Q23" s="167">
        <f t="shared" si="18"/>
        <v>0</v>
      </c>
      <c r="R23" s="168">
        <f t="shared" si="18"/>
        <v>0</v>
      </c>
      <c r="S23" s="168">
        <f t="shared" si="18"/>
        <v>0</v>
      </c>
      <c r="T23" s="169">
        <f t="shared" si="18"/>
        <v>0</v>
      </c>
      <c r="U23" s="97">
        <f t="shared" si="2"/>
        <v>0</v>
      </c>
      <c r="V23" s="97">
        <f t="shared" si="3"/>
        <v>0</v>
      </c>
      <c r="W23" s="97">
        <f t="shared" si="4"/>
        <v>0</v>
      </c>
      <c r="X23" s="97">
        <f t="shared" si="5"/>
        <v>0</v>
      </c>
      <c r="Y23" s="209"/>
      <c r="Z23" s="210"/>
      <c r="AA23" s="210"/>
      <c r="AB23" s="128">
        <f>IF(AND(D23="Jour férié semaine",((G23-F23)+(I23-H23)+(K23-J23)=0)),VLOOKUP(D23,Systeemgegevens!$J:$K,2,FALSE),0)</f>
        <v>0</v>
      </c>
      <c r="AC23" s="43">
        <f>IF(AND(NOT(ISERROR(FIND("Congé",D23))),ISERROR(FIND("1/2",D23)),ISERROR(FIND("Synd",D23)),ISERROR(FIND("synd",D23)),(G23-F23+I23-H23+K23-J23)=0),VLOOKUP(D23,Systeemgegevens!$J:$K,2,FALSE),IF(AND(NOT(ISERROR(FIND("1/2 Congé + ",D23))),(G23-F23+I23-H23+K23-J23)=0),VLOOKUP(D23,Systeemgegevens!$J:$K,2,FALSE)/2,IF(AND(NOT(ISERROR(FIND("1/2 Congé",D23))),ISERROR(FIND(" + ",D23)),ISERROR(FIND("1/2 Congé Synd.",D23))),VLOOKUP(D23,Systeemgegevens!$J:$K,2,FALSE),0)))</f>
        <v>0</v>
      </c>
      <c r="AD23" s="43">
        <f>IF(AND(OR(D23="1/2 Congé Synd.",D23="Congé Synd."),((G23-F23)+(I23-H23)+(K23-J23)=0)),VLOOKUP(D23,Systeemgegevens!$J:$K,2,FALSE),IF(AND(D23="1/2 Congé + 1/2 synd.",((G23-F23)+(I23-H23)+(K23-J23)=0)),AC23,0))</f>
        <v>0</v>
      </c>
      <c r="AE23" s="43">
        <f>IF(AND(D23="Jour de pont",((G23-F23)+(I23-H23)+(K23-J23)=0)),VLOOKUP(D23,Systeemgegevens!$J:$K,2,FALSE),0)</f>
        <v>0</v>
      </c>
      <c r="AF23" s="43">
        <f>IF(AND(D23="Jour libre 4/5",AND((G23-F23)+(I23-H23)+(K23-J23)=0)),VLOOKUP(D23,Systeemgegevens!$J:$K,2,FALSE),0)</f>
        <v>0</v>
      </c>
      <c r="AG23" s="118">
        <f>IF(AND(D23&lt;&gt;"",SUM(AB23:AF23)=0,D23&lt;&gt;$AB$4,D23&lt;&gt;$AC$4,D23&lt;&gt;$AE$4,D23&lt;&gt;$AF$4),VLOOKUP(D23,Systeemgegevens!$J:$K,2,FALSE),0)</f>
        <v>0</v>
      </c>
      <c r="AH23" s="119">
        <f t="shared" si="6"/>
        <v>0</v>
      </c>
      <c r="AI23" s="101">
        <f t="shared" si="7"/>
        <v>0</v>
      </c>
      <c r="AJ23" s="118">
        <f t="shared" si="19"/>
        <v>0</v>
      </c>
      <c r="AK23" s="119">
        <f t="shared" si="8"/>
        <v>0</v>
      </c>
      <c r="AL23" s="101">
        <f t="shared" si="9"/>
        <v>0</v>
      </c>
      <c r="AM23" s="43">
        <f t="shared" si="20"/>
        <v>0</v>
      </c>
      <c r="AN23" s="118">
        <f t="shared" si="21"/>
        <v>0</v>
      </c>
      <c r="AO23" s="122">
        <f t="shared" si="10"/>
        <v>0</v>
      </c>
      <c r="AP23" s="107">
        <f t="shared" si="11"/>
        <v>0</v>
      </c>
      <c r="AQ23" s="107">
        <f t="shared" si="12"/>
        <v>0</v>
      </c>
      <c r="AR23" s="123">
        <f t="shared" si="13"/>
        <v>0</v>
      </c>
      <c r="AS23" s="124">
        <f t="shared" si="14"/>
        <v>0</v>
      </c>
      <c r="AT23" s="124">
        <f t="shared" si="15"/>
        <v>0</v>
      </c>
      <c r="AU23" s="124">
        <f t="shared" si="16"/>
        <v>0</v>
      </c>
      <c r="AV23" s="117" t="s">
        <v>22</v>
      </c>
      <c r="AW23" s="129">
        <f>IF(($R$41=AV23)*AND($R$42&lt;&gt;""),VLOOKUP($R$42,'Barèmes police'!$AU$4:$AV$34,2),0)</f>
        <v>0</v>
      </c>
      <c r="AX23" s="16" t="str">
        <f>IF('Types de jours'!F29&lt;&gt;"",'Types de jours'!F29,"")</f>
        <v/>
      </c>
      <c r="AY23" s="144" t="str">
        <f>IF(AX23&lt;&gt;"",'Types de jours'!I29,"")</f>
        <v/>
      </c>
      <c r="AZ23" s="269"/>
      <c r="BA23" s="154"/>
      <c r="BB23" s="154"/>
      <c r="BC23" s="154"/>
      <c r="BD23" s="154"/>
      <c r="BE23" s="154"/>
      <c r="BF23" s="154"/>
    </row>
    <row r="24" spans="1:58" ht="12.75" customHeight="1" x14ac:dyDescent="0.2">
      <c r="A24" s="34"/>
      <c r="B24" s="24" t="str">
        <f t="shared" si="0"/>
        <v>Di</v>
      </c>
      <c r="C24" s="25">
        <f t="shared" si="22"/>
        <v>45368</v>
      </c>
      <c r="D24" s="51"/>
      <c r="E24" s="116"/>
      <c r="F24" s="52"/>
      <c r="G24" s="53"/>
      <c r="H24" s="52"/>
      <c r="I24" s="53"/>
      <c r="J24" s="54"/>
      <c r="K24" s="55"/>
      <c r="L24" s="40">
        <f t="shared" si="1"/>
        <v>0</v>
      </c>
      <c r="M24" s="41">
        <f t="shared" si="23"/>
        <v>0</v>
      </c>
      <c r="N24" s="42">
        <f>IF(AND(D24&lt;&gt;"Jour libre 4/5",B24&lt;&gt;"Sa",B24&lt;&gt;"Di"),SUM(N23,Configuration!$H$41),SUM(N23))</f>
        <v>3.4833333333333325</v>
      </c>
      <c r="O24" s="49" t="str">
        <f t="shared" si="24"/>
        <v>-</v>
      </c>
      <c r="P24" s="143">
        <f t="shared" si="17"/>
        <v>3.4833333333333325</v>
      </c>
      <c r="Q24" s="167">
        <f t="shared" si="18"/>
        <v>0</v>
      </c>
      <c r="R24" s="168">
        <f t="shared" si="18"/>
        <v>0</v>
      </c>
      <c r="S24" s="168">
        <f t="shared" si="18"/>
        <v>0</v>
      </c>
      <c r="T24" s="169">
        <f t="shared" si="18"/>
        <v>0</v>
      </c>
      <c r="U24" s="97">
        <f t="shared" si="2"/>
        <v>0</v>
      </c>
      <c r="V24" s="97">
        <f t="shared" si="3"/>
        <v>0</v>
      </c>
      <c r="W24" s="97">
        <f t="shared" si="4"/>
        <v>0</v>
      </c>
      <c r="X24" s="97">
        <f t="shared" si="5"/>
        <v>0</v>
      </c>
      <c r="Y24" s="209"/>
      <c r="Z24" s="210"/>
      <c r="AA24" s="210"/>
      <c r="AB24" s="128">
        <f>IF(AND(D24="Jour férié semaine",((G24-F24)+(I24-H24)+(K24-J24)=0)),VLOOKUP(D24,Systeemgegevens!$J:$K,2,FALSE),0)</f>
        <v>0</v>
      </c>
      <c r="AC24" s="43">
        <f>IF(AND(NOT(ISERROR(FIND("Congé",D24))),ISERROR(FIND("1/2",D24)),ISERROR(FIND("Synd",D24)),ISERROR(FIND("synd",D24)),(G24-F24+I24-H24+K24-J24)=0),VLOOKUP(D24,Systeemgegevens!$J:$K,2,FALSE),IF(AND(NOT(ISERROR(FIND("1/2 Congé + ",D24))),(G24-F24+I24-H24+K24-J24)=0),VLOOKUP(D24,Systeemgegevens!$J:$K,2,FALSE)/2,IF(AND(NOT(ISERROR(FIND("1/2 Congé",D24))),ISERROR(FIND(" + ",D24)),ISERROR(FIND("1/2 Congé Synd.",D24))),VLOOKUP(D24,Systeemgegevens!$J:$K,2,FALSE),0)))</f>
        <v>0</v>
      </c>
      <c r="AD24" s="43">
        <f>IF(AND(OR(D24="1/2 Congé Synd.",D24="Congé Synd."),((G24-F24)+(I24-H24)+(K24-J24)=0)),VLOOKUP(D24,Systeemgegevens!$J:$K,2,FALSE),IF(AND(D24="1/2 Congé + 1/2 synd.",((G24-F24)+(I24-H24)+(K24-J24)=0)),AC24,0))</f>
        <v>0</v>
      </c>
      <c r="AE24" s="43">
        <f>IF(AND(D24="Jour de pont",((G24-F24)+(I24-H24)+(K24-J24)=0)),VLOOKUP(D24,Systeemgegevens!$J:$K,2,FALSE),0)</f>
        <v>0</v>
      </c>
      <c r="AF24" s="43">
        <f>IF(AND(D24="Jour libre 4/5",AND((G24-F24)+(I24-H24)+(K24-J24)=0)),VLOOKUP(D24,Systeemgegevens!$J:$K,2,FALSE),0)</f>
        <v>0</v>
      </c>
      <c r="AG24" s="118">
        <f>IF(AND(D24&lt;&gt;"",SUM(AB24:AF24)=0,D24&lt;&gt;$AB$4,D24&lt;&gt;$AC$4,D24&lt;&gt;$AE$4,D24&lt;&gt;$AF$4),VLOOKUP(D24,Systeemgegevens!$J:$K,2,FALSE),0)</f>
        <v>0</v>
      </c>
      <c r="AH24" s="119">
        <f t="shared" si="6"/>
        <v>0</v>
      </c>
      <c r="AI24" s="101">
        <f t="shared" si="7"/>
        <v>0</v>
      </c>
      <c r="AJ24" s="118">
        <f t="shared" si="19"/>
        <v>0</v>
      </c>
      <c r="AK24" s="119">
        <f t="shared" si="8"/>
        <v>0</v>
      </c>
      <c r="AL24" s="101">
        <f t="shared" si="9"/>
        <v>0</v>
      </c>
      <c r="AM24" s="43">
        <f t="shared" si="20"/>
        <v>0</v>
      </c>
      <c r="AN24" s="118">
        <f t="shared" si="21"/>
        <v>0</v>
      </c>
      <c r="AO24" s="122">
        <f t="shared" si="10"/>
        <v>0</v>
      </c>
      <c r="AP24" s="107">
        <f t="shared" si="11"/>
        <v>0</v>
      </c>
      <c r="AQ24" s="107">
        <f t="shared" si="12"/>
        <v>0</v>
      </c>
      <c r="AR24" s="123">
        <f t="shared" si="13"/>
        <v>0</v>
      </c>
      <c r="AS24" s="124">
        <f t="shared" si="14"/>
        <v>0</v>
      </c>
      <c r="AT24" s="124">
        <f t="shared" si="15"/>
        <v>0</v>
      </c>
      <c r="AU24" s="124">
        <f t="shared" si="16"/>
        <v>0</v>
      </c>
      <c r="AV24" s="117" t="s">
        <v>21</v>
      </c>
      <c r="AW24" s="129">
        <f>IF(($R$41=AV24)*AND($R$42&lt;&gt;""),VLOOKUP($R$42,'Barèmes police'!$AX$4:$AY$30,2),0)</f>
        <v>0</v>
      </c>
      <c r="AX24" s="16" t="str">
        <f>IF('Types de jours'!F30&lt;&gt;"",'Types de jours'!F30,"")</f>
        <v/>
      </c>
      <c r="AY24" s="144" t="str">
        <f>IF(AX24&lt;&gt;"",'Types de jours'!I30,"")</f>
        <v/>
      </c>
      <c r="AZ24" s="269"/>
      <c r="BA24" s="154"/>
      <c r="BB24" s="154"/>
      <c r="BC24" s="154"/>
      <c r="BD24" s="154"/>
      <c r="BE24" s="154"/>
      <c r="BF24" s="154"/>
    </row>
    <row r="25" spans="1:58" ht="12.75" customHeight="1" x14ac:dyDescent="0.2">
      <c r="A25" s="34"/>
      <c r="B25" s="24" t="str">
        <f t="shared" si="0"/>
        <v>Lu</v>
      </c>
      <c r="C25" s="25">
        <f t="shared" si="22"/>
        <v>45369</v>
      </c>
      <c r="D25" s="51"/>
      <c r="E25" s="116"/>
      <c r="F25" s="52"/>
      <c r="G25" s="53"/>
      <c r="H25" s="52"/>
      <c r="I25" s="53"/>
      <c r="J25" s="54"/>
      <c r="K25" s="55"/>
      <c r="L25" s="40">
        <f t="shared" si="1"/>
        <v>0</v>
      </c>
      <c r="M25" s="41">
        <f t="shared" si="23"/>
        <v>0</v>
      </c>
      <c r="N25" s="42">
        <f>IF(AND(D25&lt;&gt;"Jour libre 4/5",B25&lt;&gt;"Sa",B25&lt;&gt;"Di"),SUM(N24,Configuration!$H$41),SUM(N24))</f>
        <v>3.7999999999999989</v>
      </c>
      <c r="O25" s="49" t="str">
        <f t="shared" si="24"/>
        <v>-</v>
      </c>
      <c r="P25" s="143">
        <f t="shared" si="17"/>
        <v>3.7999999999999989</v>
      </c>
      <c r="Q25" s="167">
        <f t="shared" si="18"/>
        <v>0</v>
      </c>
      <c r="R25" s="168">
        <f t="shared" si="18"/>
        <v>0</v>
      </c>
      <c r="S25" s="168">
        <f t="shared" si="18"/>
        <v>0</v>
      </c>
      <c r="T25" s="169">
        <f t="shared" si="18"/>
        <v>0</v>
      </c>
      <c r="U25" s="97">
        <f t="shared" si="2"/>
        <v>0</v>
      </c>
      <c r="V25" s="97">
        <f t="shared" si="3"/>
        <v>0</v>
      </c>
      <c r="W25" s="97">
        <f t="shared" si="4"/>
        <v>0</v>
      </c>
      <c r="X25" s="97">
        <f t="shared" si="5"/>
        <v>0</v>
      </c>
      <c r="Y25" s="209"/>
      <c r="Z25" s="210"/>
      <c r="AA25" s="210"/>
      <c r="AB25" s="128">
        <f>IF(AND(D25="Jour férié semaine",((G25-F25)+(I25-H25)+(K25-J25)=0)),VLOOKUP(D25,Systeemgegevens!$J:$K,2,FALSE),0)</f>
        <v>0</v>
      </c>
      <c r="AC25" s="43">
        <f>IF(AND(NOT(ISERROR(FIND("Congé",D25))),ISERROR(FIND("1/2",D25)),ISERROR(FIND("Synd",D25)),ISERROR(FIND("synd",D25)),(G25-F25+I25-H25+K25-J25)=0),VLOOKUP(D25,Systeemgegevens!$J:$K,2,FALSE),IF(AND(NOT(ISERROR(FIND("1/2 Congé + ",D25))),(G25-F25+I25-H25+K25-J25)=0),VLOOKUP(D25,Systeemgegevens!$J:$K,2,FALSE)/2,IF(AND(NOT(ISERROR(FIND("1/2 Congé",D25))),ISERROR(FIND(" + ",D25)),ISERROR(FIND("1/2 Congé Synd.",D25))),VLOOKUP(D25,Systeemgegevens!$J:$K,2,FALSE),0)))</f>
        <v>0</v>
      </c>
      <c r="AD25" s="43">
        <f>IF(AND(OR(D25="1/2 Congé Synd.",D25="Congé Synd."),((G25-F25)+(I25-H25)+(K25-J25)=0)),VLOOKUP(D25,Systeemgegevens!$J:$K,2,FALSE),IF(AND(D25="1/2 Congé + 1/2 synd.",((G25-F25)+(I25-H25)+(K25-J25)=0)),AC25,0))</f>
        <v>0</v>
      </c>
      <c r="AE25" s="43">
        <f>IF(AND(D25="Jour de pont",((G25-F25)+(I25-H25)+(K25-J25)=0)),VLOOKUP(D25,Systeemgegevens!$J:$K,2,FALSE),0)</f>
        <v>0</v>
      </c>
      <c r="AF25" s="43">
        <f>IF(AND(D25="Jour libre 4/5",AND((G25-F25)+(I25-H25)+(K25-J25)=0)),VLOOKUP(D25,Systeemgegevens!$J:$K,2,FALSE),0)</f>
        <v>0</v>
      </c>
      <c r="AG25" s="118">
        <f>IF(AND(D25&lt;&gt;"",SUM(AB25:AF25)=0,D25&lt;&gt;$AB$4,D25&lt;&gt;$AC$4,D25&lt;&gt;$AE$4,D25&lt;&gt;$AF$4),VLOOKUP(D25,Systeemgegevens!$J:$K,2,FALSE),0)</f>
        <v>0</v>
      </c>
      <c r="AH25" s="119">
        <f t="shared" si="6"/>
        <v>0</v>
      </c>
      <c r="AI25" s="101">
        <f t="shared" si="7"/>
        <v>0</v>
      </c>
      <c r="AJ25" s="118">
        <f t="shared" si="19"/>
        <v>0</v>
      </c>
      <c r="AK25" s="119">
        <f t="shared" si="8"/>
        <v>0</v>
      </c>
      <c r="AL25" s="101">
        <f t="shared" si="9"/>
        <v>0</v>
      </c>
      <c r="AM25" s="43">
        <f t="shared" si="20"/>
        <v>0</v>
      </c>
      <c r="AN25" s="118">
        <f t="shared" si="21"/>
        <v>0</v>
      </c>
      <c r="AO25" s="122">
        <f t="shared" si="10"/>
        <v>0</v>
      </c>
      <c r="AP25" s="107">
        <f t="shared" si="11"/>
        <v>0</v>
      </c>
      <c r="AQ25" s="107">
        <f t="shared" si="12"/>
        <v>0</v>
      </c>
      <c r="AR25" s="123">
        <f t="shared" si="13"/>
        <v>0</v>
      </c>
      <c r="AS25" s="124">
        <f t="shared" si="14"/>
        <v>0</v>
      </c>
      <c r="AT25" s="124">
        <f t="shared" si="15"/>
        <v>0</v>
      </c>
      <c r="AU25" s="124">
        <f t="shared" si="16"/>
        <v>0</v>
      </c>
      <c r="AV25" s="117" t="s">
        <v>20</v>
      </c>
      <c r="AW25" s="129">
        <f>IF(($R$41=AV25)*AND($R$42&lt;&gt;""),VLOOKUP($R$42,'Barèmes police'!$BA$4:$BB$34,2),0)</f>
        <v>0</v>
      </c>
      <c r="AX25" s="16" t="str">
        <f>IF('Types de jours'!F31&lt;&gt;"",'Types de jours'!F31,"")</f>
        <v/>
      </c>
      <c r="AY25" s="144" t="str">
        <f>IF(AX25&lt;&gt;"",'Types de jours'!I31,"")</f>
        <v/>
      </c>
      <c r="AZ25" s="269"/>
      <c r="BA25" s="154"/>
      <c r="BB25" s="154"/>
      <c r="BC25" s="154"/>
      <c r="BD25" s="154"/>
      <c r="BE25" s="154"/>
      <c r="BF25" s="154"/>
    </row>
    <row r="26" spans="1:58" ht="12.75" customHeight="1" x14ac:dyDescent="0.2">
      <c r="A26" s="34"/>
      <c r="B26" s="24" t="str">
        <f t="shared" si="0"/>
        <v>Ma</v>
      </c>
      <c r="C26" s="25">
        <f t="shared" si="22"/>
        <v>45370</v>
      </c>
      <c r="D26" s="51"/>
      <c r="E26" s="116"/>
      <c r="F26" s="52"/>
      <c r="G26" s="53"/>
      <c r="H26" s="54"/>
      <c r="I26" s="55"/>
      <c r="J26" s="54"/>
      <c r="K26" s="55"/>
      <c r="L26" s="40">
        <f t="shared" si="1"/>
        <v>0</v>
      </c>
      <c r="M26" s="41">
        <f t="shared" si="23"/>
        <v>0</v>
      </c>
      <c r="N26" s="42">
        <f>IF(AND(D26&lt;&gt;"Jour libre 4/5",B26&lt;&gt;"Sa",B26&lt;&gt;"Di"),SUM(N25,Configuration!$H$41),SUM(N25))</f>
        <v>4.1166666666666654</v>
      </c>
      <c r="O26" s="49" t="str">
        <f t="shared" si="24"/>
        <v>-</v>
      </c>
      <c r="P26" s="143">
        <f t="shared" si="17"/>
        <v>4.1166666666666654</v>
      </c>
      <c r="Q26" s="167">
        <f t="shared" si="18"/>
        <v>0</v>
      </c>
      <c r="R26" s="168">
        <f t="shared" si="18"/>
        <v>0</v>
      </c>
      <c r="S26" s="168">
        <f t="shared" si="18"/>
        <v>0</v>
      </c>
      <c r="T26" s="169">
        <f t="shared" si="18"/>
        <v>0</v>
      </c>
      <c r="U26" s="97">
        <f t="shared" si="2"/>
        <v>0</v>
      </c>
      <c r="V26" s="97">
        <f t="shared" si="3"/>
        <v>0</v>
      </c>
      <c r="W26" s="97">
        <f t="shared" si="4"/>
        <v>0</v>
      </c>
      <c r="X26" s="97">
        <f t="shared" si="5"/>
        <v>0</v>
      </c>
      <c r="Y26" s="209"/>
      <c r="Z26" s="210"/>
      <c r="AA26" s="210"/>
      <c r="AB26" s="128">
        <f>IF(AND(D26="Jour férié semaine",((G26-F26)+(I26-H26)+(K26-J26)=0)),VLOOKUP(D26,Systeemgegevens!$J:$K,2,FALSE),0)</f>
        <v>0</v>
      </c>
      <c r="AC26" s="43">
        <f>IF(AND(NOT(ISERROR(FIND("Congé",D26))),ISERROR(FIND("1/2",D26)),ISERROR(FIND("Synd",D26)),ISERROR(FIND("synd",D26)),(G26-F26+I26-H26+K26-J26)=0),VLOOKUP(D26,Systeemgegevens!$J:$K,2,FALSE),IF(AND(NOT(ISERROR(FIND("1/2 Congé + ",D26))),(G26-F26+I26-H26+K26-J26)=0),VLOOKUP(D26,Systeemgegevens!$J:$K,2,FALSE)/2,IF(AND(NOT(ISERROR(FIND("1/2 Congé",D26))),ISERROR(FIND(" + ",D26)),ISERROR(FIND("1/2 Congé Synd.",D26))),VLOOKUP(D26,Systeemgegevens!$J:$K,2,FALSE),0)))</f>
        <v>0</v>
      </c>
      <c r="AD26" s="43">
        <f>IF(AND(OR(D26="1/2 Congé Synd.",D26="Congé Synd."),((G26-F26)+(I26-H26)+(K26-J26)=0)),VLOOKUP(D26,Systeemgegevens!$J:$K,2,FALSE),IF(AND(D26="1/2 Congé + 1/2 synd.",((G26-F26)+(I26-H26)+(K26-J26)=0)),AC26,0))</f>
        <v>0</v>
      </c>
      <c r="AE26" s="43">
        <f>IF(AND(D26="Jour de pont",((G26-F26)+(I26-H26)+(K26-J26)=0)),VLOOKUP(D26,Systeemgegevens!$J:$K,2,FALSE),0)</f>
        <v>0</v>
      </c>
      <c r="AF26" s="43">
        <f>IF(AND(D26="Jour libre 4/5",AND((G26-F26)+(I26-H26)+(K26-J26)=0)),VLOOKUP(D26,Systeemgegevens!$J:$K,2,FALSE),0)</f>
        <v>0</v>
      </c>
      <c r="AG26" s="118">
        <f>IF(AND(D26&lt;&gt;"",SUM(AB26:AF26)=0,D26&lt;&gt;$AB$4,D26&lt;&gt;$AC$4,D26&lt;&gt;$AE$4,D26&lt;&gt;$AF$4),VLOOKUP(D26,Systeemgegevens!$J:$K,2,FALSE),0)</f>
        <v>0</v>
      </c>
      <c r="AH26" s="119">
        <f t="shared" si="6"/>
        <v>0</v>
      </c>
      <c r="AI26" s="101">
        <f t="shared" si="7"/>
        <v>0</v>
      </c>
      <c r="AJ26" s="118">
        <f t="shared" si="19"/>
        <v>0</v>
      </c>
      <c r="AK26" s="119">
        <f t="shared" si="8"/>
        <v>0</v>
      </c>
      <c r="AL26" s="101">
        <f t="shared" si="9"/>
        <v>0</v>
      </c>
      <c r="AM26" s="43">
        <f t="shared" si="20"/>
        <v>0</v>
      </c>
      <c r="AN26" s="118">
        <f t="shared" si="21"/>
        <v>0</v>
      </c>
      <c r="AO26" s="122">
        <f t="shared" si="10"/>
        <v>0</v>
      </c>
      <c r="AP26" s="107">
        <f t="shared" si="11"/>
        <v>0</v>
      </c>
      <c r="AQ26" s="107">
        <f t="shared" si="12"/>
        <v>0</v>
      </c>
      <c r="AR26" s="123">
        <f t="shared" si="13"/>
        <v>0</v>
      </c>
      <c r="AS26" s="124">
        <f t="shared" si="14"/>
        <v>0</v>
      </c>
      <c r="AT26" s="124">
        <f t="shared" si="15"/>
        <v>0</v>
      </c>
      <c r="AU26" s="124">
        <f t="shared" si="16"/>
        <v>0</v>
      </c>
      <c r="AV26" s="117" t="s">
        <v>19</v>
      </c>
      <c r="AW26" s="129">
        <f>IF(($R$41=AV26)*AND($R$42&lt;&gt;""),VLOOKUP($R$42,'Barèmes police'!$BD$4:$BE$30,2),0)</f>
        <v>0</v>
      </c>
      <c r="AX26" s="16" t="str">
        <f>IF('Types de jours'!F32&lt;&gt;"",'Types de jours'!F32,"")</f>
        <v/>
      </c>
      <c r="AY26" s="144" t="str">
        <f>IF(AX26&lt;&gt;"",'Types de jours'!I32,"")</f>
        <v/>
      </c>
      <c r="AZ26" s="269"/>
      <c r="BA26" s="154"/>
      <c r="BB26" s="154"/>
      <c r="BC26" s="154"/>
      <c r="BD26" s="154"/>
      <c r="BE26" s="154"/>
      <c r="BF26" s="154"/>
    </row>
    <row r="27" spans="1:58" ht="12.75" customHeight="1" x14ac:dyDescent="0.2">
      <c r="A27" s="34"/>
      <c r="B27" s="24" t="str">
        <f t="shared" si="0"/>
        <v>Me</v>
      </c>
      <c r="C27" s="25">
        <f t="shared" si="22"/>
        <v>45371</v>
      </c>
      <c r="D27" s="51"/>
      <c r="E27" s="116"/>
      <c r="F27" s="52"/>
      <c r="G27" s="53"/>
      <c r="H27" s="54"/>
      <c r="I27" s="55"/>
      <c r="J27" s="54"/>
      <c r="K27" s="55"/>
      <c r="L27" s="40">
        <f t="shared" si="1"/>
        <v>0</v>
      </c>
      <c r="M27" s="41">
        <f t="shared" si="23"/>
        <v>0</v>
      </c>
      <c r="N27" s="42">
        <f>IF(AND(D27&lt;&gt;"Jour libre 4/5",B27&lt;&gt;"Sa",B27&lt;&gt;"Di"),SUM(N26,Configuration!$H$41),SUM(N26))</f>
        <v>4.4333333333333318</v>
      </c>
      <c r="O27" s="49" t="str">
        <f t="shared" si="24"/>
        <v>-</v>
      </c>
      <c r="P27" s="143">
        <f t="shared" si="17"/>
        <v>4.4333333333333318</v>
      </c>
      <c r="Q27" s="167">
        <f t="shared" si="18"/>
        <v>0</v>
      </c>
      <c r="R27" s="168">
        <f t="shared" si="18"/>
        <v>0</v>
      </c>
      <c r="S27" s="168">
        <f t="shared" si="18"/>
        <v>0</v>
      </c>
      <c r="T27" s="169">
        <f t="shared" si="18"/>
        <v>0</v>
      </c>
      <c r="U27" s="97">
        <f t="shared" si="2"/>
        <v>0</v>
      </c>
      <c r="V27" s="97">
        <f t="shared" si="3"/>
        <v>0</v>
      </c>
      <c r="W27" s="97">
        <f t="shared" si="4"/>
        <v>0</v>
      </c>
      <c r="X27" s="97">
        <f t="shared" si="5"/>
        <v>0</v>
      </c>
      <c r="Y27" s="209"/>
      <c r="Z27" s="210"/>
      <c r="AA27" s="210"/>
      <c r="AB27" s="128">
        <f>IF(AND(D27="Jour férié semaine",((G27-F27)+(I27-H27)+(K27-J27)=0)),VLOOKUP(D27,Systeemgegevens!$J:$K,2,FALSE),0)</f>
        <v>0</v>
      </c>
      <c r="AC27" s="43">
        <f>IF(AND(NOT(ISERROR(FIND("Congé",D27))),ISERROR(FIND("1/2",D27)),ISERROR(FIND("Synd",D27)),ISERROR(FIND("synd",D27)),(G27-F27+I27-H27+K27-J27)=0),VLOOKUP(D27,Systeemgegevens!$J:$K,2,FALSE),IF(AND(NOT(ISERROR(FIND("1/2 Congé + ",D27))),(G27-F27+I27-H27+K27-J27)=0),VLOOKUP(D27,Systeemgegevens!$J:$K,2,FALSE)/2,IF(AND(NOT(ISERROR(FIND("1/2 Congé",D27))),ISERROR(FIND(" + ",D27)),ISERROR(FIND("1/2 Congé Synd.",D27))),VLOOKUP(D27,Systeemgegevens!$J:$K,2,FALSE),0)))</f>
        <v>0</v>
      </c>
      <c r="AD27" s="43">
        <f>IF(AND(OR(D27="1/2 Congé Synd.",D27="Congé Synd."),((G27-F27)+(I27-H27)+(K27-J27)=0)),VLOOKUP(D27,Systeemgegevens!$J:$K,2,FALSE),IF(AND(D27="1/2 Congé + 1/2 synd.",((G27-F27)+(I27-H27)+(K27-J27)=0)),AC27,0))</f>
        <v>0</v>
      </c>
      <c r="AE27" s="43">
        <f>IF(AND(D27="Jour de pont",((G27-F27)+(I27-H27)+(K27-J27)=0)),VLOOKUP(D27,Systeemgegevens!$J:$K,2,FALSE),0)</f>
        <v>0</v>
      </c>
      <c r="AF27" s="43">
        <f>IF(AND(D27="Jour libre 4/5",AND((G27-F27)+(I27-H27)+(K27-J27)=0)),VLOOKUP(D27,Systeemgegevens!$J:$K,2,FALSE),0)</f>
        <v>0</v>
      </c>
      <c r="AG27" s="118">
        <f>IF(AND(D27&lt;&gt;"",SUM(AB27:AF27)=0,D27&lt;&gt;$AB$4,D27&lt;&gt;$AC$4,D27&lt;&gt;$AE$4,D27&lt;&gt;$AF$4),VLOOKUP(D27,Systeemgegevens!$J:$K,2,FALSE),0)</f>
        <v>0</v>
      </c>
      <c r="AH27" s="119">
        <f t="shared" si="6"/>
        <v>0</v>
      </c>
      <c r="AI27" s="101">
        <f t="shared" si="7"/>
        <v>0</v>
      </c>
      <c r="AJ27" s="118">
        <f t="shared" si="19"/>
        <v>0</v>
      </c>
      <c r="AK27" s="119">
        <f t="shared" si="8"/>
        <v>0</v>
      </c>
      <c r="AL27" s="101">
        <f t="shared" si="9"/>
        <v>0</v>
      </c>
      <c r="AM27" s="43">
        <f t="shared" si="20"/>
        <v>0</v>
      </c>
      <c r="AN27" s="118">
        <f t="shared" si="21"/>
        <v>0</v>
      </c>
      <c r="AO27" s="122">
        <f t="shared" si="10"/>
        <v>0</v>
      </c>
      <c r="AP27" s="107">
        <f t="shared" si="11"/>
        <v>0</v>
      </c>
      <c r="AQ27" s="107">
        <f t="shared" si="12"/>
        <v>0</v>
      </c>
      <c r="AR27" s="123">
        <f t="shared" si="13"/>
        <v>0</v>
      </c>
      <c r="AS27" s="124">
        <f t="shared" si="14"/>
        <v>0</v>
      </c>
      <c r="AT27" s="124">
        <f t="shared" si="15"/>
        <v>0</v>
      </c>
      <c r="AU27" s="124">
        <f t="shared" si="16"/>
        <v>0</v>
      </c>
      <c r="AV27" s="117" t="s">
        <v>18</v>
      </c>
      <c r="AW27" s="129">
        <f>IF(($R$41=AV27)*AND($R$42&lt;&gt;""),VLOOKUP($R$42,'Barèmes police'!$BG$4:$BH$30,2),0)</f>
        <v>0</v>
      </c>
      <c r="AX27" s="16" t="str">
        <f>IF('Types de jours'!F33&lt;&gt;"",'Types de jours'!F33,"")</f>
        <v/>
      </c>
      <c r="AY27" s="144" t="str">
        <f>IF(AX27&lt;&gt;"",'Types de jours'!I33,"")</f>
        <v/>
      </c>
      <c r="AZ27" s="269"/>
      <c r="BA27" s="154"/>
      <c r="BB27" s="154"/>
      <c r="BC27" s="154"/>
      <c r="BD27" s="154"/>
      <c r="BE27" s="154"/>
      <c r="BF27" s="154"/>
    </row>
    <row r="28" spans="1:58" ht="12.75" customHeight="1" x14ac:dyDescent="0.2">
      <c r="A28" s="34"/>
      <c r="B28" s="24" t="str">
        <f t="shared" si="0"/>
        <v>Je</v>
      </c>
      <c r="C28" s="25">
        <f t="shared" si="22"/>
        <v>45372</v>
      </c>
      <c r="D28" s="51"/>
      <c r="E28" s="116"/>
      <c r="F28" s="52"/>
      <c r="G28" s="53"/>
      <c r="H28" s="54"/>
      <c r="I28" s="55"/>
      <c r="J28" s="54"/>
      <c r="K28" s="55"/>
      <c r="L28" s="40">
        <f t="shared" si="1"/>
        <v>0</v>
      </c>
      <c r="M28" s="41">
        <f t="shared" si="23"/>
        <v>0</v>
      </c>
      <c r="N28" s="42">
        <f>IF(AND(D28&lt;&gt;"Jour libre 4/5",B28&lt;&gt;"Sa",B28&lt;&gt;"Di"),SUM(N27,Configuration!$H$41),SUM(N27))</f>
        <v>4.7499999999999982</v>
      </c>
      <c r="O28" s="49" t="str">
        <f t="shared" si="24"/>
        <v>-</v>
      </c>
      <c r="P28" s="143">
        <f t="shared" si="17"/>
        <v>4.7499999999999982</v>
      </c>
      <c r="Q28" s="167">
        <f t="shared" si="18"/>
        <v>0</v>
      </c>
      <c r="R28" s="168">
        <f t="shared" si="18"/>
        <v>0</v>
      </c>
      <c r="S28" s="168">
        <f t="shared" si="18"/>
        <v>0</v>
      </c>
      <c r="T28" s="169">
        <f t="shared" si="18"/>
        <v>0</v>
      </c>
      <c r="U28" s="97">
        <f t="shared" si="2"/>
        <v>0</v>
      </c>
      <c r="V28" s="97">
        <f t="shared" si="3"/>
        <v>0</v>
      </c>
      <c r="W28" s="97">
        <f t="shared" si="4"/>
        <v>0</v>
      </c>
      <c r="X28" s="97">
        <f t="shared" si="5"/>
        <v>0</v>
      </c>
      <c r="Y28" s="209"/>
      <c r="Z28" s="210"/>
      <c r="AA28" s="210"/>
      <c r="AB28" s="128">
        <f>IF(AND(D28="Jour férié semaine",((G28-F28)+(I28-H28)+(K28-J28)=0)),VLOOKUP(D28,Systeemgegevens!$J:$K,2,FALSE),0)</f>
        <v>0</v>
      </c>
      <c r="AC28" s="43">
        <f>IF(AND(NOT(ISERROR(FIND("Congé",D28))),ISERROR(FIND("1/2",D28)),ISERROR(FIND("Synd",D28)),ISERROR(FIND("synd",D28)),(G28-F28+I28-H28+K28-J28)=0),VLOOKUP(D28,Systeemgegevens!$J:$K,2,FALSE),IF(AND(NOT(ISERROR(FIND("1/2 Congé + ",D28))),(G28-F28+I28-H28+K28-J28)=0),VLOOKUP(D28,Systeemgegevens!$J:$K,2,FALSE)/2,IF(AND(NOT(ISERROR(FIND("1/2 Congé",D28))),ISERROR(FIND(" + ",D28)),ISERROR(FIND("1/2 Congé Synd.",D28))),VLOOKUP(D28,Systeemgegevens!$J:$K,2,FALSE),0)))</f>
        <v>0</v>
      </c>
      <c r="AD28" s="43">
        <f>IF(AND(OR(D28="1/2 Congé Synd.",D28="Congé Synd."),((G28-F28)+(I28-H28)+(K28-J28)=0)),VLOOKUP(D28,Systeemgegevens!$J:$K,2,FALSE),IF(AND(D28="1/2 Congé + 1/2 synd.",((G28-F28)+(I28-H28)+(K28-J28)=0)),AC28,0))</f>
        <v>0</v>
      </c>
      <c r="AE28" s="43">
        <f>IF(AND(D28="Jour de pont",((G28-F28)+(I28-H28)+(K28-J28)=0)),VLOOKUP(D28,Systeemgegevens!$J:$K,2,FALSE),0)</f>
        <v>0</v>
      </c>
      <c r="AF28" s="43">
        <f>IF(AND(D28="Jour libre 4/5",AND((G28-F28)+(I28-H28)+(K28-J28)=0)),VLOOKUP(D28,Systeemgegevens!$J:$K,2,FALSE),0)</f>
        <v>0</v>
      </c>
      <c r="AG28" s="118">
        <f>IF(AND(D28&lt;&gt;"",SUM(AB28:AF28)=0,D28&lt;&gt;$AB$4,D28&lt;&gt;$AC$4,D28&lt;&gt;$AE$4,D28&lt;&gt;$AF$4),VLOOKUP(D28,Systeemgegevens!$J:$K,2,FALSE),0)</f>
        <v>0</v>
      </c>
      <c r="AH28" s="119">
        <f t="shared" si="6"/>
        <v>0</v>
      </c>
      <c r="AI28" s="101">
        <f t="shared" si="7"/>
        <v>0</v>
      </c>
      <c r="AJ28" s="118">
        <f t="shared" si="19"/>
        <v>0</v>
      </c>
      <c r="AK28" s="119">
        <f t="shared" si="8"/>
        <v>0</v>
      </c>
      <c r="AL28" s="101">
        <f t="shared" si="9"/>
        <v>0</v>
      </c>
      <c r="AM28" s="43">
        <f t="shared" si="20"/>
        <v>0</v>
      </c>
      <c r="AN28" s="118">
        <f t="shared" si="21"/>
        <v>0</v>
      </c>
      <c r="AO28" s="122">
        <f t="shared" si="10"/>
        <v>0</v>
      </c>
      <c r="AP28" s="107">
        <f t="shared" si="11"/>
        <v>0</v>
      </c>
      <c r="AQ28" s="107">
        <f t="shared" si="12"/>
        <v>0</v>
      </c>
      <c r="AR28" s="123">
        <f t="shared" si="13"/>
        <v>0</v>
      </c>
      <c r="AS28" s="124">
        <f t="shared" si="14"/>
        <v>0</v>
      </c>
      <c r="AT28" s="124">
        <f t="shared" si="15"/>
        <v>0</v>
      </c>
      <c r="AU28" s="124">
        <f t="shared" si="16"/>
        <v>0</v>
      </c>
      <c r="AV28" s="117" t="s">
        <v>17</v>
      </c>
      <c r="AW28" s="129">
        <f>IF(($R$41=AV28)*AND($R$42&lt;&gt;""),VLOOKUP($R$42,'Barèmes police'!$BJ$4:$BK$30,2),0)</f>
        <v>0</v>
      </c>
      <c r="AX28" s="16" t="str">
        <f>IF('Types de jours'!F34&lt;&gt;"",'Types de jours'!F34,"")</f>
        <v/>
      </c>
      <c r="AY28" s="144" t="str">
        <f>IF(AX28&lt;&gt;"",'Types de jours'!I34,"")</f>
        <v/>
      </c>
      <c r="AZ28" s="269"/>
      <c r="BA28" s="154"/>
      <c r="BB28" s="154"/>
      <c r="BC28" s="154"/>
      <c r="BD28" s="154"/>
      <c r="BE28" s="154"/>
      <c r="BF28" s="154"/>
    </row>
    <row r="29" spans="1:58" ht="12.75" customHeight="1" x14ac:dyDescent="0.2">
      <c r="A29" s="34"/>
      <c r="B29" s="24" t="str">
        <f t="shared" si="0"/>
        <v>Ve</v>
      </c>
      <c r="C29" s="25">
        <f t="shared" si="22"/>
        <v>45373</v>
      </c>
      <c r="D29" s="51"/>
      <c r="E29" s="116"/>
      <c r="F29" s="52"/>
      <c r="G29" s="53"/>
      <c r="H29" s="54"/>
      <c r="I29" s="55"/>
      <c r="J29" s="54"/>
      <c r="K29" s="55"/>
      <c r="L29" s="40">
        <f t="shared" si="1"/>
        <v>0</v>
      </c>
      <c r="M29" s="41">
        <f t="shared" si="23"/>
        <v>0</v>
      </c>
      <c r="N29" s="42">
        <f>IF(AND(D29&lt;&gt;"Jour libre 4/5",B29&lt;&gt;"Sa",B29&lt;&gt;"Di"),SUM(N28,Configuration!$H$41),SUM(N28))</f>
        <v>5.0666666666666647</v>
      </c>
      <c r="O29" s="49" t="str">
        <f t="shared" si="24"/>
        <v>-</v>
      </c>
      <c r="P29" s="143">
        <f t="shared" si="17"/>
        <v>5.0666666666666647</v>
      </c>
      <c r="Q29" s="167">
        <f t="shared" si="18"/>
        <v>0</v>
      </c>
      <c r="R29" s="168">
        <f t="shared" si="18"/>
        <v>0</v>
      </c>
      <c r="S29" s="168">
        <f t="shared" si="18"/>
        <v>0</v>
      </c>
      <c r="T29" s="169">
        <f t="shared" si="18"/>
        <v>0</v>
      </c>
      <c r="U29" s="97">
        <f t="shared" si="2"/>
        <v>0</v>
      </c>
      <c r="V29" s="97">
        <f t="shared" si="3"/>
        <v>0</v>
      </c>
      <c r="W29" s="97">
        <f t="shared" si="4"/>
        <v>0</v>
      </c>
      <c r="X29" s="97">
        <f t="shared" si="5"/>
        <v>0</v>
      </c>
      <c r="Y29" s="209"/>
      <c r="Z29" s="210"/>
      <c r="AA29" s="210"/>
      <c r="AB29" s="128">
        <f>IF(AND(D29="Jour férié semaine",((G29-F29)+(I29-H29)+(K29-J29)=0)),VLOOKUP(D29,Systeemgegevens!$J:$K,2,FALSE),0)</f>
        <v>0</v>
      </c>
      <c r="AC29" s="43">
        <f>IF(AND(NOT(ISERROR(FIND("Congé",D29))),ISERROR(FIND("1/2",D29)),ISERROR(FIND("Synd",D29)),ISERROR(FIND("synd",D29)),(G29-F29+I29-H29+K29-J29)=0),VLOOKUP(D29,Systeemgegevens!$J:$K,2,FALSE),IF(AND(NOT(ISERROR(FIND("1/2 Congé + ",D29))),(G29-F29+I29-H29+K29-J29)=0),VLOOKUP(D29,Systeemgegevens!$J:$K,2,FALSE)/2,IF(AND(NOT(ISERROR(FIND("1/2 Congé",D29))),ISERROR(FIND(" + ",D29)),ISERROR(FIND("1/2 Congé Synd.",D29))),VLOOKUP(D29,Systeemgegevens!$J:$K,2,FALSE),0)))</f>
        <v>0</v>
      </c>
      <c r="AD29" s="43">
        <f>IF(AND(OR(D29="1/2 Congé Synd.",D29="Congé Synd."),((G29-F29)+(I29-H29)+(K29-J29)=0)),VLOOKUP(D29,Systeemgegevens!$J:$K,2,FALSE),IF(AND(D29="1/2 Congé + 1/2 synd.",((G29-F29)+(I29-H29)+(K29-J29)=0)),AC29,0))</f>
        <v>0</v>
      </c>
      <c r="AE29" s="43">
        <f>IF(AND(D29="Jour de pont",((G29-F29)+(I29-H29)+(K29-J29)=0)),VLOOKUP(D29,Systeemgegevens!$J:$K,2,FALSE),0)</f>
        <v>0</v>
      </c>
      <c r="AF29" s="43">
        <f>IF(AND(D29="Jour libre 4/5",AND((G29-F29)+(I29-H29)+(K29-J29)=0)),VLOOKUP(D29,Systeemgegevens!$J:$K,2,FALSE),0)</f>
        <v>0</v>
      </c>
      <c r="AG29" s="118">
        <f>IF(AND(D29&lt;&gt;"",SUM(AB29:AF29)=0,D29&lt;&gt;$AB$4,D29&lt;&gt;$AC$4,D29&lt;&gt;$AE$4,D29&lt;&gt;$AF$4),VLOOKUP(D29,Systeemgegevens!$J:$K,2,FALSE),0)</f>
        <v>0</v>
      </c>
      <c r="AH29" s="119">
        <f t="shared" si="6"/>
        <v>0</v>
      </c>
      <c r="AI29" s="101">
        <f t="shared" si="7"/>
        <v>0</v>
      </c>
      <c r="AJ29" s="118">
        <f t="shared" si="19"/>
        <v>0</v>
      </c>
      <c r="AK29" s="119">
        <f t="shared" si="8"/>
        <v>0</v>
      </c>
      <c r="AL29" s="101">
        <f t="shared" si="9"/>
        <v>0</v>
      </c>
      <c r="AM29" s="43">
        <f t="shared" si="20"/>
        <v>0</v>
      </c>
      <c r="AN29" s="118">
        <f t="shared" si="21"/>
        <v>0</v>
      </c>
      <c r="AO29" s="122">
        <f t="shared" si="10"/>
        <v>0</v>
      </c>
      <c r="AP29" s="107">
        <f t="shared" si="11"/>
        <v>0</v>
      </c>
      <c r="AQ29" s="107">
        <f t="shared" si="12"/>
        <v>0</v>
      </c>
      <c r="AR29" s="123">
        <f t="shared" si="13"/>
        <v>0</v>
      </c>
      <c r="AS29" s="124">
        <f t="shared" si="14"/>
        <v>0</v>
      </c>
      <c r="AT29" s="124">
        <f t="shared" si="15"/>
        <v>0</v>
      </c>
      <c r="AU29" s="124">
        <f t="shared" si="16"/>
        <v>0</v>
      </c>
      <c r="AV29" s="117" t="s">
        <v>16</v>
      </c>
      <c r="AW29" s="129">
        <f>IF(($R$41=AV29)*AND($R$42&lt;&gt;""),VLOOKUP($R$42,'Barèmes police'!$BM$4:$BN$30,2),0)</f>
        <v>0</v>
      </c>
      <c r="AX29" s="145" t="str">
        <f>IF('Types de jours'!F35&lt;&gt;"",'Types de jours'!F35,"")</f>
        <v/>
      </c>
      <c r="AY29" s="146" t="str">
        <f>IF(AX29&lt;&gt;"",'Types de jours'!I35,"")</f>
        <v/>
      </c>
      <c r="AZ29" s="269"/>
      <c r="BA29" s="154"/>
      <c r="BB29" s="154"/>
      <c r="BC29" s="154"/>
      <c r="BD29" s="154"/>
      <c r="BE29" s="154"/>
      <c r="BF29" s="154"/>
    </row>
    <row r="30" spans="1:58" ht="12.75" customHeight="1" x14ac:dyDescent="0.2">
      <c r="A30" s="34"/>
      <c r="B30" s="24" t="str">
        <f t="shared" si="0"/>
        <v>Sa</v>
      </c>
      <c r="C30" s="25">
        <f t="shared" si="22"/>
        <v>45374</v>
      </c>
      <c r="D30" s="51"/>
      <c r="E30" s="116"/>
      <c r="F30" s="52"/>
      <c r="G30" s="53"/>
      <c r="H30" s="54"/>
      <c r="I30" s="55"/>
      <c r="J30" s="54"/>
      <c r="K30" s="55"/>
      <c r="L30" s="40">
        <f t="shared" si="1"/>
        <v>0</v>
      </c>
      <c r="M30" s="41">
        <f t="shared" si="23"/>
        <v>0</v>
      </c>
      <c r="N30" s="42">
        <f>IF(AND(D30&lt;&gt;"Jour libre 4/5",B30&lt;&gt;"Sa",B30&lt;&gt;"Di"),SUM(N29,Configuration!$H$41),SUM(N29))</f>
        <v>5.0666666666666647</v>
      </c>
      <c r="O30" s="49" t="str">
        <f t="shared" si="24"/>
        <v>-</v>
      </c>
      <c r="P30" s="143">
        <f t="shared" si="17"/>
        <v>5.0666666666666647</v>
      </c>
      <c r="Q30" s="167">
        <f t="shared" si="18"/>
        <v>0</v>
      </c>
      <c r="R30" s="168">
        <f t="shared" si="18"/>
        <v>0</v>
      </c>
      <c r="S30" s="168">
        <f t="shared" si="18"/>
        <v>0</v>
      </c>
      <c r="T30" s="169">
        <f t="shared" si="18"/>
        <v>0</v>
      </c>
      <c r="U30" s="97">
        <f t="shared" si="2"/>
        <v>0</v>
      </c>
      <c r="V30" s="97">
        <f t="shared" si="3"/>
        <v>0</v>
      </c>
      <c r="W30" s="97">
        <f t="shared" si="4"/>
        <v>0</v>
      </c>
      <c r="X30" s="97">
        <f t="shared" si="5"/>
        <v>0</v>
      </c>
      <c r="Y30" s="209"/>
      <c r="Z30" s="210"/>
      <c r="AA30" s="210"/>
      <c r="AB30" s="128">
        <f>IF(AND(D30="Jour férié semaine",((G30-F30)+(I30-H30)+(K30-J30)=0)),VLOOKUP(D30,Systeemgegevens!$J:$K,2,FALSE),0)</f>
        <v>0</v>
      </c>
      <c r="AC30" s="43">
        <f>IF(AND(NOT(ISERROR(FIND("Congé",D30))),ISERROR(FIND("1/2",D30)),ISERROR(FIND("Synd",D30)),ISERROR(FIND("synd",D30)),(G30-F30+I30-H30+K30-J30)=0),VLOOKUP(D30,Systeemgegevens!$J:$K,2,FALSE),IF(AND(NOT(ISERROR(FIND("1/2 Congé + ",D30))),(G30-F30+I30-H30+K30-J30)=0),VLOOKUP(D30,Systeemgegevens!$J:$K,2,FALSE)/2,IF(AND(NOT(ISERROR(FIND("1/2 Congé",D30))),ISERROR(FIND(" + ",D30)),ISERROR(FIND("1/2 Congé Synd.",D30))),VLOOKUP(D30,Systeemgegevens!$J:$K,2,FALSE),0)))</f>
        <v>0</v>
      </c>
      <c r="AD30" s="43">
        <f>IF(AND(OR(D30="1/2 Congé Synd.",D30="Congé Synd."),((G30-F30)+(I30-H30)+(K30-J30)=0)),VLOOKUP(D30,Systeemgegevens!$J:$K,2,FALSE),IF(AND(D30="1/2 Congé + 1/2 synd.",((G30-F30)+(I30-H30)+(K30-J30)=0)),AC30,0))</f>
        <v>0</v>
      </c>
      <c r="AE30" s="43">
        <f>IF(AND(D30="Jour de pont",((G30-F30)+(I30-H30)+(K30-J30)=0)),VLOOKUP(D30,Systeemgegevens!$J:$K,2,FALSE),0)</f>
        <v>0</v>
      </c>
      <c r="AF30" s="43">
        <f>IF(AND(D30="Jour libre 4/5",AND((G30-F30)+(I30-H30)+(K30-J30)=0)),VLOOKUP(D30,Systeemgegevens!$J:$K,2,FALSE),0)</f>
        <v>0</v>
      </c>
      <c r="AG30" s="118">
        <f>IF(AND(D30&lt;&gt;"",SUM(AB30:AF30)=0,D30&lt;&gt;$AB$4,D30&lt;&gt;$AC$4,D30&lt;&gt;$AE$4,D30&lt;&gt;$AF$4),VLOOKUP(D30,Systeemgegevens!$J:$K,2,FALSE),0)</f>
        <v>0</v>
      </c>
      <c r="AH30" s="119">
        <f t="shared" si="6"/>
        <v>0</v>
      </c>
      <c r="AI30" s="101">
        <f t="shared" si="7"/>
        <v>0</v>
      </c>
      <c r="AJ30" s="118">
        <f t="shared" si="19"/>
        <v>0</v>
      </c>
      <c r="AK30" s="119">
        <f t="shared" si="8"/>
        <v>0</v>
      </c>
      <c r="AL30" s="101">
        <f t="shared" si="9"/>
        <v>0</v>
      </c>
      <c r="AM30" s="43">
        <f t="shared" si="20"/>
        <v>0</v>
      </c>
      <c r="AN30" s="118">
        <f t="shared" si="21"/>
        <v>0</v>
      </c>
      <c r="AO30" s="122">
        <f t="shared" si="10"/>
        <v>0</v>
      </c>
      <c r="AP30" s="107">
        <f t="shared" si="11"/>
        <v>0</v>
      </c>
      <c r="AQ30" s="107">
        <f t="shared" si="12"/>
        <v>0</v>
      </c>
      <c r="AR30" s="123">
        <f t="shared" si="13"/>
        <v>0</v>
      </c>
      <c r="AS30" s="124">
        <f t="shared" si="14"/>
        <v>0</v>
      </c>
      <c r="AT30" s="124">
        <f t="shared" si="15"/>
        <v>0</v>
      </c>
      <c r="AU30" s="124">
        <f t="shared" si="16"/>
        <v>0</v>
      </c>
      <c r="AV30" s="117" t="s">
        <v>14</v>
      </c>
      <c r="AW30" s="129">
        <f>IF(($R$41=AV30)*AND($R$42&lt;&gt;""),VLOOKUP($R$42,'Barèmes police'!$B$40:$C$66,2),0)</f>
        <v>0</v>
      </c>
      <c r="AX30" s="129"/>
      <c r="AY30" s="129"/>
      <c r="AZ30" s="154"/>
      <c r="BA30" s="154"/>
      <c r="BB30" s="154"/>
      <c r="BC30" s="154"/>
      <c r="BD30" s="154"/>
      <c r="BE30" s="154"/>
      <c r="BF30" s="154"/>
    </row>
    <row r="31" spans="1:58" ht="12.75" customHeight="1" x14ac:dyDescent="0.2">
      <c r="A31" s="34"/>
      <c r="B31" s="24" t="str">
        <f t="shared" si="0"/>
        <v>Di</v>
      </c>
      <c r="C31" s="25">
        <f t="shared" si="22"/>
        <v>45375</v>
      </c>
      <c r="D31" s="51"/>
      <c r="E31" s="116"/>
      <c r="F31" s="52"/>
      <c r="G31" s="53"/>
      <c r="H31" s="52"/>
      <c r="I31" s="53"/>
      <c r="J31" s="54"/>
      <c r="K31" s="55"/>
      <c r="L31" s="40">
        <f t="shared" si="1"/>
        <v>0</v>
      </c>
      <c r="M31" s="41">
        <f t="shared" si="23"/>
        <v>0</v>
      </c>
      <c r="N31" s="42">
        <f>IF(AND(D31&lt;&gt;"Jour libre 4/5",B31&lt;&gt;"Sa",B31&lt;&gt;"Di"),SUM(N30,Configuration!$H$41),SUM(N30))</f>
        <v>5.0666666666666647</v>
      </c>
      <c r="O31" s="49" t="str">
        <f t="shared" si="24"/>
        <v>-</v>
      </c>
      <c r="P31" s="143">
        <f t="shared" si="17"/>
        <v>5.0666666666666647</v>
      </c>
      <c r="Q31" s="167">
        <f t="shared" si="18"/>
        <v>0</v>
      </c>
      <c r="R31" s="168">
        <f t="shared" si="18"/>
        <v>0</v>
      </c>
      <c r="S31" s="168">
        <f t="shared" si="18"/>
        <v>0</v>
      </c>
      <c r="T31" s="169">
        <f t="shared" si="18"/>
        <v>0</v>
      </c>
      <c r="U31" s="97">
        <f t="shared" si="2"/>
        <v>0</v>
      </c>
      <c r="V31" s="97">
        <f t="shared" si="3"/>
        <v>0</v>
      </c>
      <c r="W31" s="97">
        <f t="shared" si="4"/>
        <v>0</v>
      </c>
      <c r="X31" s="97">
        <f t="shared" si="5"/>
        <v>0</v>
      </c>
      <c r="Y31" s="209"/>
      <c r="Z31" s="210"/>
      <c r="AA31" s="210"/>
      <c r="AB31" s="128">
        <f>IF(AND(D31="Jour férié semaine",((G31-F31)+(I31-H31)+(K31-J31)=0)),VLOOKUP(D31,Systeemgegevens!$J:$K,2,FALSE),0)</f>
        <v>0</v>
      </c>
      <c r="AC31" s="43">
        <f>IF(AND(NOT(ISERROR(FIND("Congé",D31))),ISERROR(FIND("1/2",D31)),ISERROR(FIND("Synd",D31)),ISERROR(FIND("synd",D31)),(G31-F31+I31-H31+K31-J31)=0),VLOOKUP(D31,Systeemgegevens!$J:$K,2,FALSE),IF(AND(NOT(ISERROR(FIND("1/2 Congé + ",D31))),(G31-F31+I31-H31+K31-J31)=0),VLOOKUP(D31,Systeemgegevens!$J:$K,2,FALSE)/2,IF(AND(NOT(ISERROR(FIND("1/2 Congé",D31))),ISERROR(FIND(" + ",D31)),ISERROR(FIND("1/2 Congé Synd.",D31))),VLOOKUP(D31,Systeemgegevens!$J:$K,2,FALSE),0)))</f>
        <v>0</v>
      </c>
      <c r="AD31" s="43">
        <f>IF(AND(OR(D31="1/2 Congé Synd.",D31="Congé Synd."),((G31-F31)+(I31-H31)+(K31-J31)=0)),VLOOKUP(D31,Systeemgegevens!$J:$K,2,FALSE),IF(AND(D31="1/2 Congé + 1/2 synd.",((G31-F31)+(I31-H31)+(K31-J31)=0)),AC31,0))</f>
        <v>0</v>
      </c>
      <c r="AE31" s="43">
        <f>IF(AND(D31="Jour de pont",((G31-F31)+(I31-H31)+(K31-J31)=0)),VLOOKUP(D31,Systeemgegevens!$J:$K,2,FALSE),0)</f>
        <v>0</v>
      </c>
      <c r="AF31" s="43">
        <f>IF(AND(D31="Jour libre 4/5",AND((G31-F31)+(I31-H31)+(K31-J31)=0)),VLOOKUP(D31,Systeemgegevens!$J:$K,2,FALSE),0)</f>
        <v>0</v>
      </c>
      <c r="AG31" s="118">
        <f>IF(AND(D31&lt;&gt;"",SUM(AB31:AF31)=0,D31&lt;&gt;$AB$4,D31&lt;&gt;$AC$4,D31&lt;&gt;$AE$4,D31&lt;&gt;$AF$4),VLOOKUP(D31,Systeemgegevens!$J:$K,2,FALSE),0)</f>
        <v>0</v>
      </c>
      <c r="AH31" s="119">
        <f t="shared" si="6"/>
        <v>0</v>
      </c>
      <c r="AI31" s="101">
        <f t="shared" si="7"/>
        <v>0</v>
      </c>
      <c r="AJ31" s="118">
        <f t="shared" si="19"/>
        <v>0</v>
      </c>
      <c r="AK31" s="119">
        <f t="shared" si="8"/>
        <v>0</v>
      </c>
      <c r="AL31" s="101">
        <f t="shared" si="9"/>
        <v>0</v>
      </c>
      <c r="AM31" s="43">
        <f t="shared" si="20"/>
        <v>0</v>
      </c>
      <c r="AN31" s="118">
        <f t="shared" si="21"/>
        <v>0</v>
      </c>
      <c r="AO31" s="122">
        <f t="shared" si="10"/>
        <v>0</v>
      </c>
      <c r="AP31" s="107">
        <f t="shared" si="11"/>
        <v>0</v>
      </c>
      <c r="AQ31" s="107">
        <f t="shared" si="12"/>
        <v>0</v>
      </c>
      <c r="AR31" s="123">
        <f t="shared" si="13"/>
        <v>0</v>
      </c>
      <c r="AS31" s="124">
        <f t="shared" si="14"/>
        <v>0</v>
      </c>
      <c r="AT31" s="124">
        <f t="shared" si="15"/>
        <v>0</v>
      </c>
      <c r="AU31" s="124">
        <f t="shared" si="16"/>
        <v>0</v>
      </c>
      <c r="AV31" s="117" t="s">
        <v>13</v>
      </c>
      <c r="AW31" s="129">
        <f>IF(($R$41=AV31)*AND($R$42&lt;&gt;""),VLOOKUP($R$42,'Barèmes police'!$E$40:$F$66,2),0)</f>
        <v>0</v>
      </c>
      <c r="AX31" s="129"/>
      <c r="AY31" s="129"/>
      <c r="AZ31" s="154"/>
      <c r="BA31" s="154"/>
      <c r="BB31" s="154"/>
      <c r="BC31" s="154"/>
      <c r="BD31" s="154"/>
      <c r="BE31" s="154"/>
      <c r="BF31" s="154"/>
    </row>
    <row r="32" spans="1:58" ht="12.75" customHeight="1" x14ac:dyDescent="0.2">
      <c r="A32" s="34"/>
      <c r="B32" s="24" t="str">
        <f t="shared" si="0"/>
        <v>Lu</v>
      </c>
      <c r="C32" s="25">
        <f t="shared" si="22"/>
        <v>45376</v>
      </c>
      <c r="D32" s="51"/>
      <c r="E32" s="116"/>
      <c r="F32" s="52"/>
      <c r="G32" s="53"/>
      <c r="H32" s="52"/>
      <c r="I32" s="53"/>
      <c r="J32" s="54"/>
      <c r="K32" s="55"/>
      <c r="L32" s="40">
        <f t="shared" si="1"/>
        <v>0</v>
      </c>
      <c r="M32" s="41">
        <f t="shared" si="23"/>
        <v>0</v>
      </c>
      <c r="N32" s="42">
        <f>IF(AND(D32&lt;&gt;"Jour libre 4/5",B32&lt;&gt;"Sa",B32&lt;&gt;"Di"),SUM(N31,Configuration!$H$41),SUM(N31))</f>
        <v>5.3833333333333311</v>
      </c>
      <c r="O32" s="49" t="str">
        <f t="shared" si="24"/>
        <v>-</v>
      </c>
      <c r="P32" s="143">
        <f t="shared" si="17"/>
        <v>5.3833333333333311</v>
      </c>
      <c r="Q32" s="167">
        <f t="shared" si="18"/>
        <v>0</v>
      </c>
      <c r="R32" s="168">
        <f t="shared" si="18"/>
        <v>0</v>
      </c>
      <c r="S32" s="168">
        <f t="shared" si="18"/>
        <v>0</v>
      </c>
      <c r="T32" s="169">
        <f t="shared" si="18"/>
        <v>0</v>
      </c>
      <c r="U32" s="97">
        <f t="shared" si="2"/>
        <v>0</v>
      </c>
      <c r="V32" s="97">
        <f t="shared" si="3"/>
        <v>0</v>
      </c>
      <c r="W32" s="97">
        <f t="shared" si="4"/>
        <v>0</v>
      </c>
      <c r="X32" s="97">
        <f t="shared" si="5"/>
        <v>0</v>
      </c>
      <c r="Y32" s="209"/>
      <c r="Z32" s="210"/>
      <c r="AA32" s="210"/>
      <c r="AB32" s="128">
        <f>IF(AND(D32="Jour férié semaine",((G32-F32)+(I32-H32)+(K32-J32)=0)),VLOOKUP(D32,Systeemgegevens!$J:$K,2,FALSE),0)</f>
        <v>0</v>
      </c>
      <c r="AC32" s="43">
        <f>IF(AND(NOT(ISERROR(FIND("Congé",D32))),ISERROR(FIND("1/2",D32)),ISERROR(FIND("Synd",D32)),ISERROR(FIND("synd",D32)),(G32-F32+I32-H32+K32-J32)=0),VLOOKUP(D32,Systeemgegevens!$J:$K,2,FALSE),IF(AND(NOT(ISERROR(FIND("1/2 Congé + ",D32))),(G32-F32+I32-H32+K32-J32)=0),VLOOKUP(D32,Systeemgegevens!$J:$K,2,FALSE)/2,IF(AND(NOT(ISERROR(FIND("1/2 Congé",D32))),ISERROR(FIND(" + ",D32)),ISERROR(FIND("1/2 Congé Synd.",D32))),VLOOKUP(D32,Systeemgegevens!$J:$K,2,FALSE),0)))</f>
        <v>0</v>
      </c>
      <c r="AD32" s="43">
        <f>IF(AND(OR(D32="1/2 Congé Synd.",D32="Congé Synd."),((G32-F32)+(I32-H32)+(K32-J32)=0)),VLOOKUP(D32,Systeemgegevens!$J:$K,2,FALSE),IF(AND(D32="1/2 Congé + 1/2 synd.",((G32-F32)+(I32-H32)+(K32-J32)=0)),AC32,0))</f>
        <v>0</v>
      </c>
      <c r="AE32" s="43">
        <f>IF(AND(D32="Jour de pont",((G32-F32)+(I32-H32)+(K32-J32)=0)),VLOOKUP(D32,Systeemgegevens!$J:$K,2,FALSE),0)</f>
        <v>0</v>
      </c>
      <c r="AF32" s="43">
        <f>IF(AND(D32="Jour libre 4/5",AND((G32-F32)+(I32-H32)+(K32-J32)=0)),VLOOKUP(D32,Systeemgegevens!$J:$K,2,FALSE),0)</f>
        <v>0</v>
      </c>
      <c r="AG32" s="118">
        <f>IF(AND(D32&lt;&gt;"",SUM(AB32:AF32)=0,D32&lt;&gt;$AB$4,D32&lt;&gt;$AC$4,D32&lt;&gt;$AE$4,D32&lt;&gt;$AF$4),VLOOKUP(D32,Systeemgegevens!$J:$K,2,FALSE),0)</f>
        <v>0</v>
      </c>
      <c r="AH32" s="119">
        <f t="shared" si="6"/>
        <v>0</v>
      </c>
      <c r="AI32" s="101">
        <f t="shared" si="7"/>
        <v>0</v>
      </c>
      <c r="AJ32" s="118">
        <f t="shared" si="19"/>
        <v>0</v>
      </c>
      <c r="AK32" s="119">
        <f t="shared" si="8"/>
        <v>0</v>
      </c>
      <c r="AL32" s="101">
        <f t="shared" si="9"/>
        <v>0</v>
      </c>
      <c r="AM32" s="43">
        <f t="shared" si="20"/>
        <v>0</v>
      </c>
      <c r="AN32" s="118">
        <f t="shared" si="21"/>
        <v>0</v>
      </c>
      <c r="AO32" s="122">
        <f t="shared" si="10"/>
        <v>0</v>
      </c>
      <c r="AP32" s="107">
        <f t="shared" si="11"/>
        <v>0</v>
      </c>
      <c r="AQ32" s="107">
        <f t="shared" si="12"/>
        <v>0</v>
      </c>
      <c r="AR32" s="123">
        <f t="shared" si="13"/>
        <v>0</v>
      </c>
      <c r="AS32" s="124">
        <f t="shared" si="14"/>
        <v>0</v>
      </c>
      <c r="AT32" s="124">
        <f t="shared" si="15"/>
        <v>0</v>
      </c>
      <c r="AU32" s="124">
        <f t="shared" si="16"/>
        <v>0</v>
      </c>
      <c r="AV32" s="117" t="s">
        <v>7</v>
      </c>
      <c r="AW32" s="129">
        <f>IF(($R$41=AV32)*AND($R$42&lt;&gt;""),VLOOKUP($R$42,'Barèmes police'!$AC$40:$AD$66,2),0)</f>
        <v>0</v>
      </c>
      <c r="AX32" s="129"/>
      <c r="AY32" s="129"/>
      <c r="AZ32" s="154"/>
      <c r="BA32" s="154"/>
      <c r="BB32" s="154"/>
      <c r="BC32" s="154"/>
      <c r="BD32" s="154"/>
      <c r="BE32" s="154"/>
      <c r="BF32" s="154"/>
    </row>
    <row r="33" spans="1:58" ht="12.75" customHeight="1" x14ac:dyDescent="0.2">
      <c r="A33" s="34"/>
      <c r="B33" s="24" t="str">
        <f t="shared" si="0"/>
        <v>Ma</v>
      </c>
      <c r="C33" s="25">
        <f t="shared" si="22"/>
        <v>45377</v>
      </c>
      <c r="D33" s="51"/>
      <c r="E33" s="116"/>
      <c r="F33" s="52"/>
      <c r="G33" s="53"/>
      <c r="H33" s="54"/>
      <c r="I33" s="55"/>
      <c r="J33" s="54"/>
      <c r="K33" s="55"/>
      <c r="L33" s="40">
        <f t="shared" si="1"/>
        <v>0</v>
      </c>
      <c r="M33" s="41">
        <f t="shared" si="23"/>
        <v>0</v>
      </c>
      <c r="N33" s="42">
        <f>IF(AND(D33&lt;&gt;"Jour libre 4/5",B33&lt;&gt;"Sa",B33&lt;&gt;"Di"),SUM(N32,Configuration!$H$41),SUM(N32))</f>
        <v>5.6999999999999975</v>
      </c>
      <c r="O33" s="49" t="str">
        <f t="shared" si="24"/>
        <v>-</v>
      </c>
      <c r="P33" s="143">
        <f t="shared" si="17"/>
        <v>5.6999999999999975</v>
      </c>
      <c r="Q33" s="167">
        <f t="shared" si="18"/>
        <v>0</v>
      </c>
      <c r="R33" s="168">
        <f t="shared" si="18"/>
        <v>0</v>
      </c>
      <c r="S33" s="168">
        <f t="shared" si="18"/>
        <v>0</v>
      </c>
      <c r="T33" s="169">
        <f t="shared" si="18"/>
        <v>0</v>
      </c>
      <c r="U33" s="97">
        <f t="shared" si="2"/>
        <v>0</v>
      </c>
      <c r="V33" s="97">
        <f t="shared" si="3"/>
        <v>0</v>
      </c>
      <c r="W33" s="97">
        <f t="shared" si="4"/>
        <v>0</v>
      </c>
      <c r="X33" s="97">
        <f t="shared" si="5"/>
        <v>0</v>
      </c>
      <c r="Y33" s="209"/>
      <c r="Z33" s="210"/>
      <c r="AA33" s="210"/>
      <c r="AB33" s="128">
        <f>IF(AND(D33="Jour férié semaine",((G33-F33)+(I33-H33)+(K33-J33)=0)),VLOOKUP(D33,Systeemgegevens!$J:$K,2,FALSE),0)</f>
        <v>0</v>
      </c>
      <c r="AC33" s="43">
        <f>IF(AND(NOT(ISERROR(FIND("Congé",D33))),ISERROR(FIND("1/2",D33)),ISERROR(FIND("Synd",D33)),ISERROR(FIND("synd",D33)),(G33-F33+I33-H33+K33-J33)=0),VLOOKUP(D33,Systeemgegevens!$J:$K,2,FALSE),IF(AND(NOT(ISERROR(FIND("1/2 Congé + ",D33))),(G33-F33+I33-H33+K33-J33)=0),VLOOKUP(D33,Systeemgegevens!$J:$K,2,FALSE)/2,IF(AND(NOT(ISERROR(FIND("1/2 Congé",D33))),ISERROR(FIND(" + ",D33)),ISERROR(FIND("1/2 Congé Synd.",D33))),VLOOKUP(D33,Systeemgegevens!$J:$K,2,FALSE),0)))</f>
        <v>0</v>
      </c>
      <c r="AD33" s="43">
        <f>IF(AND(OR(D33="1/2 Congé Synd.",D33="Congé Synd."),((G33-F33)+(I33-H33)+(K33-J33)=0)),VLOOKUP(D33,Systeemgegevens!$J:$K,2,FALSE),IF(AND(D33="1/2 Congé + 1/2 synd.",((G33-F33)+(I33-H33)+(K33-J33)=0)),AC33,0))</f>
        <v>0</v>
      </c>
      <c r="AE33" s="43">
        <f>IF(AND(D33="Jour de pont",((G33-F33)+(I33-H33)+(K33-J33)=0)),VLOOKUP(D33,Systeemgegevens!$J:$K,2,FALSE),0)</f>
        <v>0</v>
      </c>
      <c r="AF33" s="43">
        <f>IF(AND(D33="Jour libre 4/5",AND((G33-F33)+(I33-H33)+(K33-J33)=0)),VLOOKUP(D33,Systeemgegevens!$J:$K,2,FALSE),0)</f>
        <v>0</v>
      </c>
      <c r="AG33" s="118">
        <f>IF(AND(D33&lt;&gt;"",SUM(AB33:AF33)=0,D33&lt;&gt;$AB$4,D33&lt;&gt;$AC$4,D33&lt;&gt;$AE$4,D33&lt;&gt;$AF$4),VLOOKUP(D33,Systeemgegevens!$J:$K,2,FALSE),0)</f>
        <v>0</v>
      </c>
      <c r="AH33" s="119">
        <f t="shared" si="6"/>
        <v>0</v>
      </c>
      <c r="AI33" s="101">
        <f t="shared" si="7"/>
        <v>0</v>
      </c>
      <c r="AJ33" s="118">
        <f t="shared" si="19"/>
        <v>0</v>
      </c>
      <c r="AK33" s="119">
        <f t="shared" si="8"/>
        <v>0</v>
      </c>
      <c r="AL33" s="101">
        <f t="shared" si="9"/>
        <v>0</v>
      </c>
      <c r="AM33" s="43">
        <f t="shared" si="20"/>
        <v>0</v>
      </c>
      <c r="AN33" s="118">
        <f t="shared" si="21"/>
        <v>0</v>
      </c>
      <c r="AO33" s="122">
        <f t="shared" si="10"/>
        <v>0</v>
      </c>
      <c r="AP33" s="107">
        <f t="shared" si="11"/>
        <v>0</v>
      </c>
      <c r="AQ33" s="107">
        <f t="shared" si="12"/>
        <v>0</v>
      </c>
      <c r="AR33" s="123">
        <f t="shared" si="13"/>
        <v>0</v>
      </c>
      <c r="AS33" s="124">
        <f t="shared" si="14"/>
        <v>0</v>
      </c>
      <c r="AT33" s="124">
        <f t="shared" si="15"/>
        <v>0</v>
      </c>
      <c r="AU33" s="124">
        <f t="shared" si="16"/>
        <v>0</v>
      </c>
      <c r="AV33" s="117" t="s">
        <v>12</v>
      </c>
      <c r="AW33" s="129">
        <f>IF(($R$41=AV33)*AND($R$42&lt;&gt;""),VLOOKUP($R$42,'Barèmes police'!$H$40:$I$66,2),0)</f>
        <v>0</v>
      </c>
      <c r="AX33" s="129"/>
      <c r="AY33" s="129"/>
      <c r="AZ33" s="154"/>
      <c r="BA33" s="154"/>
      <c r="BB33" s="154"/>
      <c r="BC33" s="154"/>
      <c r="BD33" s="154"/>
      <c r="BE33" s="154"/>
      <c r="BF33" s="154"/>
    </row>
    <row r="34" spans="1:58" ht="12.75" customHeight="1" x14ac:dyDescent="0.2">
      <c r="A34" s="34"/>
      <c r="B34" s="24" t="str">
        <f t="shared" si="0"/>
        <v>Me</v>
      </c>
      <c r="C34" s="25">
        <f t="shared" si="22"/>
        <v>45378</v>
      </c>
      <c r="D34" s="51"/>
      <c r="E34" s="116"/>
      <c r="F34" s="52"/>
      <c r="G34" s="53"/>
      <c r="H34" s="54"/>
      <c r="I34" s="55"/>
      <c r="J34" s="54"/>
      <c r="K34" s="55"/>
      <c r="L34" s="40">
        <f t="shared" si="1"/>
        <v>0</v>
      </c>
      <c r="M34" s="41">
        <f t="shared" si="23"/>
        <v>0</v>
      </c>
      <c r="N34" s="42">
        <f>IF(AND(D34&lt;&gt;"Jour libre 4/5",B34&lt;&gt;"Sa",B34&lt;&gt;"Di"),SUM(N33,Configuration!$H$41),SUM(N33))</f>
        <v>6.0166666666666639</v>
      </c>
      <c r="O34" s="49" t="str">
        <f t="shared" si="24"/>
        <v>-</v>
      </c>
      <c r="P34" s="143">
        <f t="shared" si="17"/>
        <v>6.0166666666666639</v>
      </c>
      <c r="Q34" s="167">
        <f t="shared" si="18"/>
        <v>0</v>
      </c>
      <c r="R34" s="168">
        <f t="shared" si="18"/>
        <v>0</v>
      </c>
      <c r="S34" s="168">
        <f t="shared" si="18"/>
        <v>0</v>
      </c>
      <c r="T34" s="169">
        <f t="shared" si="18"/>
        <v>0</v>
      </c>
      <c r="U34" s="97">
        <f t="shared" si="2"/>
        <v>0</v>
      </c>
      <c r="V34" s="97">
        <f t="shared" si="3"/>
        <v>0</v>
      </c>
      <c r="W34" s="97">
        <f t="shared" si="4"/>
        <v>0</v>
      </c>
      <c r="X34" s="97">
        <f t="shared" si="5"/>
        <v>0</v>
      </c>
      <c r="Y34" s="209"/>
      <c r="Z34" s="210"/>
      <c r="AA34" s="210"/>
      <c r="AB34" s="128">
        <f>IF(AND(D34="Jour férié semaine",((G34-F34)+(I34-H34)+(K34-J34)=0)),VLOOKUP(D34,Systeemgegevens!$J:$K,2,FALSE),0)</f>
        <v>0</v>
      </c>
      <c r="AC34" s="43">
        <f>IF(AND(NOT(ISERROR(FIND("Congé",D34))),ISERROR(FIND("1/2",D34)),ISERROR(FIND("Synd",D34)),ISERROR(FIND("synd",D34)),(G34-F34+I34-H34+K34-J34)=0),VLOOKUP(D34,Systeemgegevens!$J:$K,2,FALSE),IF(AND(NOT(ISERROR(FIND("1/2 Congé + ",D34))),(G34-F34+I34-H34+K34-J34)=0),VLOOKUP(D34,Systeemgegevens!$J:$K,2,FALSE)/2,IF(AND(NOT(ISERROR(FIND("1/2 Congé",D34))),ISERROR(FIND(" + ",D34)),ISERROR(FIND("1/2 Congé Synd.",D34))),VLOOKUP(D34,Systeemgegevens!$J:$K,2,FALSE),0)))</f>
        <v>0</v>
      </c>
      <c r="AD34" s="43">
        <f>IF(AND(OR(D34="1/2 Congé Synd.",D34="Congé Synd."),((G34-F34)+(I34-H34)+(K34-J34)=0)),VLOOKUP(D34,Systeemgegevens!$J:$K,2,FALSE),IF(AND(D34="1/2 Congé + 1/2 synd.",((G34-F34)+(I34-H34)+(K34-J34)=0)),AC34,0))</f>
        <v>0</v>
      </c>
      <c r="AE34" s="43">
        <f>IF(AND(D34="Jour de pont",((G34-F34)+(I34-H34)+(K34-J34)=0)),VLOOKUP(D34,Systeemgegevens!$J:$K,2,FALSE),0)</f>
        <v>0</v>
      </c>
      <c r="AF34" s="43">
        <f>IF(AND(D34="Jour libre 4/5",AND((G34-F34)+(I34-H34)+(K34-J34)=0)),VLOOKUP(D34,Systeemgegevens!$J:$K,2,FALSE),0)</f>
        <v>0</v>
      </c>
      <c r="AG34" s="118">
        <f>IF(AND(D34&lt;&gt;"",SUM(AB34:AF34)=0,D34&lt;&gt;$AB$4,D34&lt;&gt;$AC$4,D34&lt;&gt;$AE$4,D34&lt;&gt;$AF$4),VLOOKUP(D34,Systeemgegevens!$J:$K,2,FALSE),0)</f>
        <v>0</v>
      </c>
      <c r="AH34" s="119">
        <f t="shared" si="6"/>
        <v>0</v>
      </c>
      <c r="AI34" s="101">
        <f t="shared" si="7"/>
        <v>0</v>
      </c>
      <c r="AJ34" s="118">
        <f t="shared" si="19"/>
        <v>0</v>
      </c>
      <c r="AK34" s="119">
        <f t="shared" si="8"/>
        <v>0</v>
      </c>
      <c r="AL34" s="101">
        <f t="shared" si="9"/>
        <v>0</v>
      </c>
      <c r="AM34" s="43">
        <f t="shared" si="20"/>
        <v>0</v>
      </c>
      <c r="AN34" s="118">
        <f t="shared" si="21"/>
        <v>0</v>
      </c>
      <c r="AO34" s="122">
        <f t="shared" si="10"/>
        <v>0</v>
      </c>
      <c r="AP34" s="107">
        <f t="shared" si="11"/>
        <v>0</v>
      </c>
      <c r="AQ34" s="107">
        <f t="shared" si="12"/>
        <v>0</v>
      </c>
      <c r="AR34" s="123">
        <f t="shared" si="13"/>
        <v>0</v>
      </c>
      <c r="AS34" s="124">
        <f t="shared" si="14"/>
        <v>0</v>
      </c>
      <c r="AT34" s="124">
        <f t="shared" si="15"/>
        <v>0</v>
      </c>
      <c r="AU34" s="124">
        <f t="shared" si="16"/>
        <v>0</v>
      </c>
      <c r="AV34" s="117" t="s">
        <v>6</v>
      </c>
      <c r="AW34" s="129">
        <f>IF(($R$41=AV34)*AND($R$42&lt;&gt;""),VLOOKUP($R$42,'Barèmes police'!$AF$40:$AG$66,2),0)</f>
        <v>0</v>
      </c>
      <c r="AX34" s="129"/>
      <c r="AY34" s="129"/>
      <c r="AZ34" s="154"/>
      <c r="BA34" s="154"/>
      <c r="BB34" s="154"/>
      <c r="BC34" s="154"/>
      <c r="BD34" s="154"/>
      <c r="BE34" s="154"/>
      <c r="BF34" s="154"/>
    </row>
    <row r="35" spans="1:58" ht="12.75" customHeight="1" x14ac:dyDescent="0.2">
      <c r="A35" s="34"/>
      <c r="B35" s="24" t="str">
        <f t="shared" si="0"/>
        <v>Je</v>
      </c>
      <c r="C35" s="25">
        <f t="shared" si="22"/>
        <v>45379</v>
      </c>
      <c r="D35" s="51"/>
      <c r="E35" s="116"/>
      <c r="F35" s="52"/>
      <c r="G35" s="53"/>
      <c r="H35" s="54"/>
      <c r="I35" s="55"/>
      <c r="J35" s="54"/>
      <c r="K35" s="55"/>
      <c r="L35" s="40">
        <f t="shared" si="1"/>
        <v>0</v>
      </c>
      <c r="M35" s="41">
        <f t="shared" si="23"/>
        <v>0</v>
      </c>
      <c r="N35" s="42">
        <f>IF(AND(D35&lt;&gt;"Jour libre 4/5",B35&lt;&gt;"Sa",B35&lt;&gt;"Di"),SUM(N34,Configuration!$H$41),SUM(N34))</f>
        <v>6.3333333333333304</v>
      </c>
      <c r="O35" s="49" t="str">
        <f t="shared" si="24"/>
        <v>-</v>
      </c>
      <c r="P35" s="143">
        <f t="shared" si="17"/>
        <v>6.3333333333333304</v>
      </c>
      <c r="Q35" s="167">
        <f t="shared" si="18"/>
        <v>0</v>
      </c>
      <c r="R35" s="168">
        <f t="shared" si="18"/>
        <v>0</v>
      </c>
      <c r="S35" s="168">
        <f t="shared" si="18"/>
        <v>0</v>
      </c>
      <c r="T35" s="169">
        <f t="shared" si="18"/>
        <v>0</v>
      </c>
      <c r="U35" s="97">
        <f t="shared" si="2"/>
        <v>0</v>
      </c>
      <c r="V35" s="97">
        <f t="shared" si="3"/>
        <v>0</v>
      </c>
      <c r="W35" s="97">
        <f t="shared" si="4"/>
        <v>0</v>
      </c>
      <c r="X35" s="97">
        <f t="shared" si="5"/>
        <v>0</v>
      </c>
      <c r="Y35" s="209"/>
      <c r="Z35" s="210"/>
      <c r="AA35" s="210"/>
      <c r="AB35" s="128">
        <f>IF(AND(D35="Jour férié semaine",((G35-F35)+(I35-H35)+(K35-J35)=0)),VLOOKUP(D35,Systeemgegevens!$J:$K,2,FALSE),0)</f>
        <v>0</v>
      </c>
      <c r="AC35" s="43">
        <f>IF(AND(NOT(ISERROR(FIND("Congé",D35))),ISERROR(FIND("1/2",D35)),ISERROR(FIND("Synd",D35)),ISERROR(FIND("synd",D35)),(G35-F35+I35-H35+K35-J35)=0),VLOOKUP(D35,Systeemgegevens!$J:$K,2,FALSE),IF(AND(NOT(ISERROR(FIND("1/2 Congé + ",D35))),(G35-F35+I35-H35+K35-J35)=0),VLOOKUP(D35,Systeemgegevens!$J:$K,2,FALSE)/2,IF(AND(NOT(ISERROR(FIND("1/2 Congé",D35))),ISERROR(FIND(" + ",D35)),ISERROR(FIND("1/2 Congé Synd.",D35))),VLOOKUP(D35,Systeemgegevens!$J:$K,2,FALSE),0)))</f>
        <v>0</v>
      </c>
      <c r="AD35" s="43">
        <f>IF(AND(OR(D35="1/2 Congé Synd.",D35="Congé Synd."),((G35-F35)+(I35-H35)+(K35-J35)=0)),VLOOKUP(D35,Systeemgegevens!$J:$K,2,FALSE),IF(AND(D35="1/2 Congé + 1/2 synd.",((G35-F35)+(I35-H35)+(K35-J35)=0)),AC35,0))</f>
        <v>0</v>
      </c>
      <c r="AE35" s="43">
        <f>IF(AND(D35="Jour de pont",((G35-F35)+(I35-H35)+(K35-J35)=0)),VLOOKUP(D35,Systeemgegevens!$J:$K,2,FALSE),0)</f>
        <v>0</v>
      </c>
      <c r="AF35" s="43">
        <f>IF(AND(D35="Jour libre 4/5",AND((G35-F35)+(I35-H35)+(K35-J35)=0)),VLOOKUP(D35,Systeemgegevens!$J:$K,2,FALSE),0)</f>
        <v>0</v>
      </c>
      <c r="AG35" s="118">
        <f>IF(AND(D35&lt;&gt;"",SUM(AB35:AF35)=0,D35&lt;&gt;$AB$4,D35&lt;&gt;$AC$4,D35&lt;&gt;$AE$4,D35&lt;&gt;$AF$4),VLOOKUP(D35,Systeemgegevens!$J:$K,2,FALSE),0)</f>
        <v>0</v>
      </c>
      <c r="AH35" s="119">
        <f t="shared" si="6"/>
        <v>0</v>
      </c>
      <c r="AI35" s="101">
        <f t="shared" si="7"/>
        <v>0</v>
      </c>
      <c r="AJ35" s="118">
        <f t="shared" si="19"/>
        <v>0</v>
      </c>
      <c r="AK35" s="119">
        <f t="shared" si="8"/>
        <v>0</v>
      </c>
      <c r="AL35" s="101">
        <f t="shared" si="9"/>
        <v>0</v>
      </c>
      <c r="AM35" s="43">
        <f t="shared" si="20"/>
        <v>0</v>
      </c>
      <c r="AN35" s="118">
        <f t="shared" si="21"/>
        <v>0</v>
      </c>
      <c r="AO35" s="122">
        <f t="shared" si="10"/>
        <v>0</v>
      </c>
      <c r="AP35" s="107">
        <f t="shared" si="11"/>
        <v>0</v>
      </c>
      <c r="AQ35" s="107">
        <f t="shared" si="12"/>
        <v>0</v>
      </c>
      <c r="AR35" s="123">
        <f t="shared" si="13"/>
        <v>0</v>
      </c>
      <c r="AS35" s="124">
        <f t="shared" si="14"/>
        <v>0</v>
      </c>
      <c r="AT35" s="124">
        <f t="shared" si="15"/>
        <v>0</v>
      </c>
      <c r="AU35" s="124">
        <f t="shared" si="16"/>
        <v>0</v>
      </c>
      <c r="AV35" s="117" t="s">
        <v>11</v>
      </c>
      <c r="AW35" s="129">
        <f>IF(($R$41=AV35)*AND($R$42&lt;&gt;""),VLOOKUP($R$42,'Barèmes police'!$K$40:$L$66,2),0)</f>
        <v>0</v>
      </c>
      <c r="AX35" s="129"/>
      <c r="AY35" s="129"/>
      <c r="AZ35" s="154"/>
      <c r="BA35" s="154"/>
      <c r="BB35" s="154"/>
      <c r="BC35" s="154"/>
      <c r="BD35" s="154"/>
      <c r="BE35" s="154"/>
      <c r="BF35" s="154"/>
    </row>
    <row r="36" spans="1:58" ht="12.75" customHeight="1" x14ac:dyDescent="0.2">
      <c r="A36" s="34"/>
      <c r="B36" s="24" t="str">
        <f t="shared" si="0"/>
        <v>Ve</v>
      </c>
      <c r="C36" s="25">
        <f t="shared" si="22"/>
        <v>45380</v>
      </c>
      <c r="D36" s="51"/>
      <c r="E36" s="116"/>
      <c r="F36" s="52"/>
      <c r="G36" s="53"/>
      <c r="H36" s="54"/>
      <c r="I36" s="55"/>
      <c r="J36" s="54"/>
      <c r="K36" s="55"/>
      <c r="L36" s="40">
        <f t="shared" si="1"/>
        <v>0</v>
      </c>
      <c r="M36" s="41">
        <f t="shared" si="23"/>
        <v>0</v>
      </c>
      <c r="N36" s="42">
        <f>IF(AND(D36&lt;&gt;"Jour libre 4/5",B36&lt;&gt;"Sa",B36&lt;&gt;"Di"),SUM(N35,Configuration!$H$41),SUM(N35))</f>
        <v>6.6499999999999968</v>
      </c>
      <c r="O36" s="49" t="str">
        <f t="shared" si="24"/>
        <v>-</v>
      </c>
      <c r="P36" s="143">
        <f t="shared" si="17"/>
        <v>6.6499999999999968</v>
      </c>
      <c r="Q36" s="167">
        <f t="shared" si="18"/>
        <v>0</v>
      </c>
      <c r="R36" s="168">
        <f t="shared" si="18"/>
        <v>0</v>
      </c>
      <c r="S36" s="168">
        <f t="shared" si="18"/>
        <v>0</v>
      </c>
      <c r="T36" s="169">
        <f t="shared" si="18"/>
        <v>0</v>
      </c>
      <c r="U36" s="97">
        <f t="shared" si="2"/>
        <v>0</v>
      </c>
      <c r="V36" s="97">
        <f t="shared" si="3"/>
        <v>0</v>
      </c>
      <c r="W36" s="97">
        <f t="shared" si="4"/>
        <v>0</v>
      </c>
      <c r="X36" s="97">
        <f t="shared" si="5"/>
        <v>0</v>
      </c>
      <c r="Y36" s="209"/>
      <c r="Z36" s="210"/>
      <c r="AA36" s="210"/>
      <c r="AB36" s="128">
        <f>IF(AND(D36="Jour férié semaine",((G36-F36)+(I36-H36)+(K36-J36)=0)),VLOOKUP(D36,Systeemgegevens!$J:$K,2,FALSE),0)</f>
        <v>0</v>
      </c>
      <c r="AC36" s="43">
        <f>IF(AND(NOT(ISERROR(FIND("Congé",D36))),ISERROR(FIND("1/2",D36)),ISERROR(FIND("Synd",D36)),ISERROR(FIND("synd",D36)),(G36-F36+I36-H36+K36-J36)=0),VLOOKUP(D36,Systeemgegevens!$J:$K,2,FALSE),IF(AND(NOT(ISERROR(FIND("1/2 Congé + ",D36))),(G36-F36+I36-H36+K36-J36)=0),VLOOKUP(D36,Systeemgegevens!$J:$K,2,FALSE)/2,IF(AND(NOT(ISERROR(FIND("1/2 Congé",D36))),ISERROR(FIND(" + ",D36)),ISERROR(FIND("1/2 Congé Synd.",D36))),VLOOKUP(D36,Systeemgegevens!$J:$K,2,FALSE),0)))</f>
        <v>0</v>
      </c>
      <c r="AD36" s="43">
        <f>IF(AND(OR(D36="1/2 Congé Synd.",D36="Congé Synd."),((G36-F36)+(I36-H36)+(K36-J36)=0)),VLOOKUP(D36,Systeemgegevens!$J:$K,2,FALSE),IF(AND(D36="1/2 Congé + 1/2 synd.",((G36-F36)+(I36-H36)+(K36-J36)=0)),AC36,0))</f>
        <v>0</v>
      </c>
      <c r="AE36" s="43">
        <f>IF(AND(D36="Jour de pont",((G36-F36)+(I36-H36)+(K36-J36)=0)),VLOOKUP(D36,Systeemgegevens!$J:$K,2,FALSE),0)</f>
        <v>0</v>
      </c>
      <c r="AF36" s="43">
        <f>IF(AND(D36="Jour libre 4/5",AND((G36-F36)+(I36-H36)+(K36-J36)=0)),VLOOKUP(D36,Systeemgegevens!$J:$K,2,FALSE),0)</f>
        <v>0</v>
      </c>
      <c r="AG36" s="118">
        <f>IF(AND(D36&lt;&gt;"",SUM(AB36:AF36)=0,D36&lt;&gt;$AB$4,D36&lt;&gt;$AC$4,D36&lt;&gt;$AE$4,D36&lt;&gt;$AF$4),VLOOKUP(D36,Systeemgegevens!$J:$K,2,FALSE),0)</f>
        <v>0</v>
      </c>
      <c r="AH36" s="119">
        <f t="shared" si="6"/>
        <v>0</v>
      </c>
      <c r="AI36" s="101">
        <f t="shared" si="7"/>
        <v>0</v>
      </c>
      <c r="AJ36" s="118">
        <f t="shared" si="19"/>
        <v>0</v>
      </c>
      <c r="AK36" s="119">
        <f t="shared" si="8"/>
        <v>0</v>
      </c>
      <c r="AL36" s="101">
        <f t="shared" si="9"/>
        <v>0</v>
      </c>
      <c r="AM36" s="43">
        <f t="shared" si="20"/>
        <v>0</v>
      </c>
      <c r="AN36" s="118">
        <f t="shared" si="21"/>
        <v>0</v>
      </c>
      <c r="AO36" s="122">
        <f t="shared" si="10"/>
        <v>0</v>
      </c>
      <c r="AP36" s="107">
        <f t="shared" si="11"/>
        <v>0</v>
      </c>
      <c r="AQ36" s="107">
        <f t="shared" si="12"/>
        <v>0</v>
      </c>
      <c r="AR36" s="123">
        <f t="shared" si="13"/>
        <v>0</v>
      </c>
      <c r="AS36" s="124">
        <f t="shared" si="14"/>
        <v>0</v>
      </c>
      <c r="AT36" s="124">
        <f t="shared" si="15"/>
        <v>0</v>
      </c>
      <c r="AU36" s="124">
        <f t="shared" si="16"/>
        <v>0</v>
      </c>
      <c r="AV36" s="117" t="s">
        <v>2</v>
      </c>
      <c r="AW36" s="129">
        <f>IF(($R$41=AV36)*AND($R$42&lt;&gt;""),VLOOKUP($R$42,'Barèmes police'!$AR$40:$AS$66,2),0)</f>
        <v>0</v>
      </c>
      <c r="AX36" s="129"/>
      <c r="AY36" s="129"/>
      <c r="AZ36" s="154"/>
      <c r="BA36" s="154"/>
      <c r="BB36" s="154"/>
      <c r="BC36" s="154"/>
      <c r="BD36" s="154"/>
      <c r="BE36" s="154"/>
      <c r="BF36" s="154"/>
    </row>
    <row r="37" spans="1:58" ht="12.75" customHeight="1" x14ac:dyDescent="0.2">
      <c r="A37" s="34"/>
      <c r="B37" s="24" t="str">
        <f t="shared" si="0"/>
        <v>Sa</v>
      </c>
      <c r="C37" s="25">
        <f t="shared" si="22"/>
        <v>45381</v>
      </c>
      <c r="D37" s="51"/>
      <c r="E37" s="116"/>
      <c r="F37" s="52"/>
      <c r="G37" s="53"/>
      <c r="H37" s="54"/>
      <c r="I37" s="55"/>
      <c r="J37" s="54"/>
      <c r="K37" s="55"/>
      <c r="L37" s="40">
        <f t="shared" si="1"/>
        <v>0</v>
      </c>
      <c r="M37" s="41">
        <f t="shared" si="23"/>
        <v>0</v>
      </c>
      <c r="N37" s="42">
        <f>IF(AND(D37&lt;&gt;"Jour libre 4/5",B37&lt;&gt;"Sa",B37&lt;&gt;"Di"),SUM(N36,Configuration!$H$41),SUM(N36))</f>
        <v>6.6499999999999968</v>
      </c>
      <c r="O37" s="49" t="str">
        <f t="shared" si="24"/>
        <v>-</v>
      </c>
      <c r="P37" s="143">
        <f t="shared" si="17"/>
        <v>6.6499999999999968</v>
      </c>
      <c r="Q37" s="167">
        <f t="shared" si="18"/>
        <v>0</v>
      </c>
      <c r="R37" s="168">
        <f t="shared" si="18"/>
        <v>0</v>
      </c>
      <c r="S37" s="168">
        <f t="shared" si="18"/>
        <v>0</v>
      </c>
      <c r="T37" s="169">
        <f t="shared" si="18"/>
        <v>0</v>
      </c>
      <c r="U37" s="97">
        <f t="shared" si="2"/>
        <v>0</v>
      </c>
      <c r="V37" s="97">
        <f t="shared" si="3"/>
        <v>0</v>
      </c>
      <c r="W37" s="97">
        <f t="shared" si="4"/>
        <v>0</v>
      </c>
      <c r="X37" s="97">
        <f t="shared" si="5"/>
        <v>0</v>
      </c>
      <c r="Y37" s="209"/>
      <c r="Z37" s="210"/>
      <c r="AA37" s="210"/>
      <c r="AB37" s="128">
        <f>IF(AND(D37="Jour férié semaine",((G37-F37)+(I37-H37)+(K37-J37)=0)),VLOOKUP(D37,Systeemgegevens!$J:$K,2,FALSE),0)</f>
        <v>0</v>
      </c>
      <c r="AC37" s="43">
        <f>IF(AND(NOT(ISERROR(FIND("Congé",D37))),ISERROR(FIND("1/2",D37)),ISERROR(FIND("Synd",D37)),ISERROR(FIND("synd",D37)),(G37-F37+I37-H37+K37-J37)=0),VLOOKUP(D37,Systeemgegevens!$J:$K,2,FALSE),IF(AND(NOT(ISERROR(FIND("1/2 Congé + ",D37))),(G37-F37+I37-H37+K37-J37)=0),VLOOKUP(D37,Systeemgegevens!$J:$K,2,FALSE)/2,IF(AND(NOT(ISERROR(FIND("1/2 Congé",D37))),ISERROR(FIND(" + ",D37)),ISERROR(FIND("1/2 Congé Synd.",D37))),VLOOKUP(D37,Systeemgegevens!$J:$K,2,FALSE),0)))</f>
        <v>0</v>
      </c>
      <c r="AD37" s="43">
        <f>IF(AND(OR(D37="1/2 Congé Synd.",D37="Congé Synd."),((G37-F37)+(I37-H37)+(K37-J37)=0)),VLOOKUP(D37,Systeemgegevens!$J:$K,2,FALSE),IF(AND(D37="1/2 Congé + 1/2 synd.",((G37-F37)+(I37-H37)+(K37-J37)=0)),AC37,0))</f>
        <v>0</v>
      </c>
      <c r="AE37" s="43">
        <f>IF(AND(D37="Jour de pont",((G37-F37)+(I37-H37)+(K37-J37)=0)),VLOOKUP(D37,Systeemgegevens!$J:$K,2,FALSE),0)</f>
        <v>0</v>
      </c>
      <c r="AF37" s="43">
        <f>IF(AND(D37="Jour libre 4/5",AND((G37-F37)+(I37-H37)+(K37-J37)=0)),VLOOKUP(D37,Systeemgegevens!$J:$K,2,FALSE),0)</f>
        <v>0</v>
      </c>
      <c r="AG37" s="118">
        <f>IF(AND(D37&lt;&gt;"",SUM(AB37:AF37)=0,D37&lt;&gt;$AB$4,D37&lt;&gt;$AC$4,D37&lt;&gt;$AE$4,D37&lt;&gt;$AF$4),VLOOKUP(D37,Systeemgegevens!$J:$K,2,FALSE),0)</f>
        <v>0</v>
      </c>
      <c r="AH37" s="119">
        <f t="shared" si="6"/>
        <v>0</v>
      </c>
      <c r="AI37" s="101">
        <f t="shared" si="7"/>
        <v>0</v>
      </c>
      <c r="AJ37" s="118">
        <f t="shared" si="19"/>
        <v>0</v>
      </c>
      <c r="AK37" s="119">
        <f t="shared" si="8"/>
        <v>0</v>
      </c>
      <c r="AL37" s="101">
        <f t="shared" si="9"/>
        <v>0</v>
      </c>
      <c r="AM37" s="43">
        <f t="shared" si="20"/>
        <v>0</v>
      </c>
      <c r="AN37" s="118">
        <f t="shared" si="21"/>
        <v>0</v>
      </c>
      <c r="AO37" s="122">
        <f t="shared" si="10"/>
        <v>0</v>
      </c>
      <c r="AP37" s="107">
        <f t="shared" si="11"/>
        <v>0</v>
      </c>
      <c r="AQ37" s="107">
        <f t="shared" si="12"/>
        <v>0</v>
      </c>
      <c r="AR37" s="123">
        <f t="shared" si="13"/>
        <v>0</v>
      </c>
      <c r="AS37" s="124">
        <f t="shared" si="14"/>
        <v>0</v>
      </c>
      <c r="AT37" s="124">
        <f t="shared" si="15"/>
        <v>0</v>
      </c>
      <c r="AU37" s="124">
        <f t="shared" si="16"/>
        <v>0</v>
      </c>
      <c r="AV37" s="117" t="s">
        <v>269</v>
      </c>
      <c r="AW37" s="129">
        <f>IF(($R$41=AV37)*AND($R$42&lt;&gt;""),VLOOKUP($R$42,'Barèmes police'!$AU$40:$AV$66,2),0)</f>
        <v>0</v>
      </c>
      <c r="AX37" s="129"/>
      <c r="AY37" s="129"/>
      <c r="AZ37" s="154"/>
      <c r="BA37" s="154"/>
      <c r="BB37" s="154"/>
      <c r="BC37" s="154"/>
      <c r="BD37" s="154"/>
      <c r="BE37" s="154"/>
      <c r="BF37" s="154"/>
    </row>
    <row r="38" spans="1:58" ht="12.75" customHeight="1" x14ac:dyDescent="0.2">
      <c r="A38" s="34"/>
      <c r="B38" s="36" t="str">
        <f t="shared" si="0"/>
        <v>Di</v>
      </c>
      <c r="C38" s="25">
        <f t="shared" si="22"/>
        <v>45382</v>
      </c>
      <c r="D38" s="56"/>
      <c r="E38" s="56"/>
      <c r="F38" s="149"/>
      <c r="G38" s="150"/>
      <c r="H38" s="57"/>
      <c r="I38" s="58"/>
      <c r="J38" s="57"/>
      <c r="K38" s="58"/>
      <c r="L38" s="44">
        <f t="shared" si="1"/>
        <v>0</v>
      </c>
      <c r="M38" s="46">
        <f>M37+L38</f>
        <v>0</v>
      </c>
      <c r="N38" s="47">
        <f>IF(AND(D38&lt;&gt;"Jour libre 4/5",B38&lt;&gt;"Sa",B38&lt;&gt;"Di"),SUM(N37,Configuration!$H$41),SUM(N37))</f>
        <v>6.6499999999999968</v>
      </c>
      <c r="O38" s="50" t="str">
        <f t="shared" si="24"/>
        <v>-</v>
      </c>
      <c r="P38" s="142">
        <f t="shared" si="17"/>
        <v>6.6499999999999968</v>
      </c>
      <c r="Q38" s="170">
        <f t="shared" si="18"/>
        <v>0</v>
      </c>
      <c r="R38" s="171">
        <f t="shared" si="18"/>
        <v>0</v>
      </c>
      <c r="S38" s="171">
        <f t="shared" si="18"/>
        <v>0</v>
      </c>
      <c r="T38" s="172">
        <f t="shared" si="18"/>
        <v>0</v>
      </c>
      <c r="U38" s="98">
        <f t="shared" si="2"/>
        <v>0</v>
      </c>
      <c r="V38" s="98">
        <f t="shared" si="3"/>
        <v>0</v>
      </c>
      <c r="W38" s="98">
        <f t="shared" si="4"/>
        <v>0</v>
      </c>
      <c r="X38" s="98">
        <f t="shared" si="5"/>
        <v>0</v>
      </c>
      <c r="Y38" s="211"/>
      <c r="Z38" s="212"/>
      <c r="AA38" s="212"/>
      <c r="AB38" s="128">
        <f>IF(AND(D38="Jour férié semaine",((G38-F38)+(I38-H38)+(K38-J38)=0)),VLOOKUP(D38,Systeemgegevens!$J:$K,2,FALSE),0)</f>
        <v>0</v>
      </c>
      <c r="AC38" s="43">
        <f>IF(AND(NOT(ISERROR(FIND("Congé",D38))),ISERROR(FIND("1/2",D38)),ISERROR(FIND("Synd",D38)),ISERROR(FIND("synd",D38)),(G38-F38+I38-H38+K38-J38)=0),VLOOKUP(D38,Systeemgegevens!$J:$K,2,FALSE),IF(AND(NOT(ISERROR(FIND("1/2 Congé + ",D38))),(G38-F38+I38-H38+K38-J38)=0),VLOOKUP(D38,Systeemgegevens!$J:$K,2,FALSE)/2,IF(AND(NOT(ISERROR(FIND("1/2 Congé",D38))),ISERROR(FIND(" + ",D38)),ISERROR(FIND("1/2 Congé Synd.",D38))),VLOOKUP(D38,Systeemgegevens!$J:$K,2,FALSE),0)))</f>
        <v>0</v>
      </c>
      <c r="AD38" s="43">
        <f>IF(AND(OR(D38="1/2 Congé Synd.",D38="Congé Synd."),((G38-F38)+(I38-H38)+(K38-J38)=0)),VLOOKUP(D38,Systeemgegevens!$J:$K,2,FALSE),IF(AND(D38="1/2 Congé + 1/2 synd.",((G38-F38)+(I38-H38)+(K38-J38)=0)),AC38,0))</f>
        <v>0</v>
      </c>
      <c r="AE38" s="43">
        <f>IF(AND(D38="Jour de pont",((G38-F38)+(I38-H38)+(K38-J38)=0)),VLOOKUP(D38,Systeemgegevens!$J:$K,2,FALSE),0)</f>
        <v>0</v>
      </c>
      <c r="AF38" s="43">
        <f>IF(AND(D38="Jour libre 4/5",AND((G38-F38)+(I38-H38)+(K38-J38)=0)),VLOOKUP(D38,Systeemgegevens!$J:$K,2,FALSE),0)</f>
        <v>0</v>
      </c>
      <c r="AG38" s="118">
        <f>IF(AND(D38&lt;&gt;"",SUM(AB38:AF38)=0,D38&lt;&gt;$AB$4,D38&lt;&gt;$AC$4,D38&lt;&gt;$AE$4,D38&lt;&gt;$AF$4),VLOOKUP(D38,Systeemgegevens!$J:$K,2,FALSE),0)</f>
        <v>0</v>
      </c>
      <c r="AH38" s="119">
        <f t="shared" si="6"/>
        <v>0</v>
      </c>
      <c r="AI38" s="101">
        <f t="shared" si="7"/>
        <v>0</v>
      </c>
      <c r="AJ38" s="118">
        <f t="shared" si="19"/>
        <v>0</v>
      </c>
      <c r="AK38" s="119">
        <f t="shared" si="8"/>
        <v>0</v>
      </c>
      <c r="AL38" s="101">
        <f t="shared" si="9"/>
        <v>0</v>
      </c>
      <c r="AM38" s="43">
        <f t="shared" si="20"/>
        <v>0</v>
      </c>
      <c r="AN38" s="118">
        <f t="shared" si="21"/>
        <v>0</v>
      </c>
      <c r="AO38" s="122">
        <f t="shared" si="10"/>
        <v>0</v>
      </c>
      <c r="AP38" s="107">
        <f t="shared" si="11"/>
        <v>0</v>
      </c>
      <c r="AQ38" s="107">
        <f t="shared" si="12"/>
        <v>0</v>
      </c>
      <c r="AR38" s="123">
        <f t="shared" si="13"/>
        <v>0</v>
      </c>
      <c r="AS38" s="124">
        <f t="shared" si="14"/>
        <v>0</v>
      </c>
      <c r="AT38" s="124">
        <f t="shared" si="15"/>
        <v>0</v>
      </c>
      <c r="AU38" s="124">
        <f t="shared" si="16"/>
        <v>0</v>
      </c>
      <c r="AX38" s="129"/>
      <c r="AY38" s="129"/>
      <c r="AZ38" s="154"/>
      <c r="BA38" s="154"/>
      <c r="BB38" s="154"/>
      <c r="BC38" s="154"/>
      <c r="BD38" s="154"/>
      <c r="BE38" s="154"/>
      <c r="BF38" s="154"/>
    </row>
    <row r="39" spans="1:58" ht="12.75" customHeight="1" x14ac:dyDescent="0.2">
      <c r="C39" s="281"/>
      <c r="AX39" s="129"/>
      <c r="AY39" s="129"/>
    </row>
    <row r="40" spans="1:58" ht="12.75" customHeight="1" x14ac:dyDescent="0.2">
      <c r="J40" s="215"/>
      <c r="K40" s="215"/>
      <c r="L40" s="215"/>
      <c r="M40" s="216"/>
      <c r="N40" s="215"/>
      <c r="O40" s="217"/>
      <c r="P40" s="215"/>
      <c r="Q40" s="215"/>
      <c r="R40" s="215"/>
      <c r="S40" s="215"/>
      <c r="T40" s="215"/>
      <c r="U40" s="217"/>
      <c r="V40" s="217"/>
      <c r="W40" s="416" t="s">
        <v>212</v>
      </c>
      <c r="X40" s="417"/>
      <c r="Y40" s="23"/>
      <c r="Z40" s="218"/>
      <c r="AA40" s="218"/>
      <c r="AV40" s="117" t="s">
        <v>8</v>
      </c>
      <c r="AW40" s="129">
        <f>IF(($R$41=AV40)*AND($R$42&lt;&gt;""),VLOOKUP($R$42,'Barèmes police'!$Z$40:$AA$66,2),0)</f>
        <v>0</v>
      </c>
      <c r="AX40" s="129"/>
      <c r="AY40" s="129"/>
    </row>
    <row r="41" spans="1:58" ht="12.75" customHeight="1" x14ac:dyDescent="0.2">
      <c r="B41" s="475" t="s">
        <v>201</v>
      </c>
      <c r="C41" s="414"/>
      <c r="D41" s="398"/>
      <c r="E41" s="397" t="s">
        <v>202</v>
      </c>
      <c r="F41" s="398"/>
      <c r="G41" s="414" t="s">
        <v>243</v>
      </c>
      <c r="H41" s="415"/>
      <c r="J41" s="407" t="s">
        <v>233</v>
      </c>
      <c r="K41" s="408"/>
      <c r="L41" s="408"/>
      <c r="M41" s="408"/>
      <c r="N41" s="408"/>
      <c r="O41" s="219"/>
      <c r="P41" s="220"/>
      <c r="Q41" s="220"/>
      <c r="R41" s="405" t="s">
        <v>36</v>
      </c>
      <c r="S41" s="406"/>
      <c r="T41" s="402" t="s">
        <v>213</v>
      </c>
      <c r="U41" s="403"/>
      <c r="V41" s="404"/>
      <c r="W41" s="221">
        <v>1</v>
      </c>
      <c r="X41" s="222" t="s">
        <v>54</v>
      </c>
      <c r="Y41" s="23"/>
      <c r="Z41" s="383" t="s">
        <v>75</v>
      </c>
      <c r="AA41" s="384"/>
      <c r="AV41" s="117" t="s">
        <v>5</v>
      </c>
      <c r="AW41" s="129">
        <f>IF(($R$41=AV41)*AND($R$42&lt;&gt;""),VLOOKUP($R$42,'Barèmes police'!$AI$40:$AJ$66,2),0)</f>
        <v>0</v>
      </c>
      <c r="AX41" s="129"/>
      <c r="AY41" s="129"/>
    </row>
    <row r="42" spans="1:58" ht="12.75" customHeight="1" x14ac:dyDescent="0.2">
      <c r="B42" s="476" t="s">
        <v>205</v>
      </c>
      <c r="C42" s="477"/>
      <c r="D42" s="478"/>
      <c r="E42" s="412">
        <f>Fev!E44</f>
        <v>34</v>
      </c>
      <c r="F42" s="413"/>
      <c r="G42" s="399">
        <f>Fev!G44</f>
        <v>10.766666666666666</v>
      </c>
      <c r="H42" s="399"/>
      <c r="J42" s="223"/>
      <c r="K42" s="224"/>
      <c r="L42" s="224"/>
      <c r="M42" s="224"/>
      <c r="N42" s="224"/>
      <c r="O42" s="225"/>
      <c r="P42" s="226"/>
      <c r="Q42" s="226"/>
      <c r="R42" s="464">
        <v>0</v>
      </c>
      <c r="S42" s="465"/>
      <c r="T42" s="466">
        <f>SUM(AW8:AW201)</f>
        <v>14703.88</v>
      </c>
      <c r="U42" s="467"/>
      <c r="V42" s="468"/>
      <c r="W42" s="213">
        <v>13409.11</v>
      </c>
      <c r="X42" s="214">
        <v>12735.61</v>
      </c>
      <c r="Y42" s="23"/>
      <c r="Z42" s="457">
        <v>2.0398999999999998</v>
      </c>
      <c r="AA42" s="458"/>
      <c r="AV42" s="117" t="s">
        <v>10</v>
      </c>
      <c r="AW42" s="129">
        <f>IF(($R$41=AV42)*AND($R$42&lt;&gt;""),VLOOKUP($R$42,'Barèmes police'!$N$40:$O$66,2),0)</f>
        <v>0</v>
      </c>
      <c r="AX42" s="129"/>
      <c r="AY42" s="129"/>
    </row>
    <row r="43" spans="1:58" ht="12.75" customHeight="1" x14ac:dyDescent="0.2">
      <c r="B43" s="476" t="s">
        <v>203</v>
      </c>
      <c r="C43" s="477"/>
      <c r="D43" s="478"/>
      <c r="E43" s="459">
        <v>0</v>
      </c>
      <c r="F43" s="460"/>
      <c r="G43" s="463">
        <f>E43*Configuration!$H$41</f>
        <v>0</v>
      </c>
      <c r="H43" s="463"/>
      <c r="J43" s="227" t="s">
        <v>215</v>
      </c>
      <c r="K43" s="228"/>
      <c r="L43" s="229"/>
      <c r="M43" s="230">
        <f>IF(MINUTE(SUM(U8:U39))&gt;=30,SUM(U8:U39)+(TIME(1,0,0))-TIME(0,MINUTE(SUM(U8:U39)),0),SUM(U8:U39)-TIME(0,MINUTE(SUM(U8:U39)),0))</f>
        <v>0</v>
      </c>
      <c r="N43" s="219" t="s">
        <v>190</v>
      </c>
      <c r="O43" s="231"/>
      <c r="P43" s="220"/>
      <c r="Q43" s="220"/>
      <c r="R43" s="232"/>
      <c r="S43" s="354">
        <f>IF($R$2="Oui",(M43*AK44*24),0)</f>
        <v>0</v>
      </c>
      <c r="T43" s="355"/>
      <c r="U43" s="355"/>
      <c r="V43" s="233" t="s">
        <v>55</v>
      </c>
      <c r="W43" s="234">
        <f>IF($R$3="Oui",M43*AK49*24,0)</f>
        <v>0</v>
      </c>
      <c r="X43" s="235" t="s">
        <v>55</v>
      </c>
      <c r="Y43" s="23"/>
      <c r="Z43" s="218"/>
      <c r="AA43" s="218"/>
      <c r="AB43" s="352" t="s">
        <v>66</v>
      </c>
      <c r="AC43" s="353"/>
      <c r="AD43" s="353"/>
      <c r="AE43" s="130">
        <f>T42*Z42</f>
        <v>29994.444811999994</v>
      </c>
      <c r="AG43" s="352" t="s">
        <v>64</v>
      </c>
      <c r="AH43" s="353"/>
      <c r="AI43" s="353"/>
      <c r="AJ43" s="353"/>
      <c r="AK43" s="130">
        <f>T42*Z42/1850</f>
        <v>16.213213411891889</v>
      </c>
      <c r="AM43" s="389" t="s">
        <v>163</v>
      </c>
      <c r="AN43" s="390"/>
      <c r="AO43" s="390"/>
      <c r="AP43" s="390"/>
      <c r="AQ43" s="390"/>
      <c r="AR43" s="127"/>
      <c r="AV43" s="18" t="s">
        <v>4</v>
      </c>
      <c r="AW43" s="129">
        <f>IF(($R$41=AV43)*AND($R$42&lt;&gt;""),VLOOKUP($R$42,'Barèmes police'!$AL$40:$AM$66,2),0)</f>
        <v>0</v>
      </c>
      <c r="AX43" s="129"/>
      <c r="AY43" s="129"/>
    </row>
    <row r="44" spans="1:58" ht="12.75" customHeight="1" x14ac:dyDescent="0.2">
      <c r="B44" s="476" t="s">
        <v>260</v>
      </c>
      <c r="C44" s="477"/>
      <c r="D44" s="478"/>
      <c r="E44" s="412">
        <f>SUM(AU8:AU39)</f>
        <v>0</v>
      </c>
      <c r="F44" s="413"/>
      <c r="G44" s="399">
        <f>SUM(AU8:AU39)*Configuration!H41</f>
        <v>0</v>
      </c>
      <c r="H44" s="399"/>
      <c r="J44" s="236" t="s">
        <v>217</v>
      </c>
      <c r="K44" s="237"/>
      <c r="L44" s="238"/>
      <c r="M44" s="239">
        <f>IF(MINUTE(SUM(V8:V39))&gt;=30,SUM(V8:V39)+(TIME(1,0,0))-TIME(0,MINUTE(SUM(V8:V39)),0),SUM(V8:V39)-TIME(0,MINUTE(SUM(V8:V39)),0))</f>
        <v>0</v>
      </c>
      <c r="N44" s="225" t="s">
        <v>190</v>
      </c>
      <c r="O44" s="240"/>
      <c r="P44" s="226"/>
      <c r="Q44" s="226"/>
      <c r="R44" s="232"/>
      <c r="S44" s="354">
        <f>IF($R$2="Oui",M44*AK45*24,0)</f>
        <v>0</v>
      </c>
      <c r="T44" s="355"/>
      <c r="U44" s="355"/>
      <c r="V44" s="233" t="s">
        <v>55</v>
      </c>
      <c r="W44" s="23"/>
      <c r="X44" s="241"/>
      <c r="Y44" s="23"/>
      <c r="Z44" s="377" t="s">
        <v>211</v>
      </c>
      <c r="AA44" s="378"/>
      <c r="AB44" s="358" t="s">
        <v>67</v>
      </c>
      <c r="AC44" s="359"/>
      <c r="AD44" s="359"/>
      <c r="AE44" s="121">
        <f>AE43*0.075</f>
        <v>2249.5833608999997</v>
      </c>
      <c r="AG44" s="358" t="s">
        <v>65</v>
      </c>
      <c r="AH44" s="359"/>
      <c r="AI44" s="359"/>
      <c r="AJ44" s="359"/>
      <c r="AK44" s="136">
        <f>(AK43*0.9645)*AE49</f>
        <v>9.3231635529859105</v>
      </c>
      <c r="AM44" s="391" t="str">
        <f>IF(Configuration!$H$30="Dagen","Aantal dagen beschikbaar:","Aantal uren beschikbaar:")</f>
        <v>Aantal uren beschikbaar:</v>
      </c>
      <c r="AN44" s="392"/>
      <c r="AO44" s="392"/>
      <c r="AP44" s="392"/>
      <c r="AQ44" s="393">
        <f>IF(Configuration!H30="Dagen",Configuration!H45,Configuration!H45)</f>
        <v>99999</v>
      </c>
      <c r="AR44" s="394"/>
      <c r="AV44" s="18" t="s">
        <v>9</v>
      </c>
      <c r="AW44" s="129">
        <f>IF(($R$41=AV44)*AND($R$42&lt;&gt;""),VLOOKUP($R$42,'Barèmes police'!$Q$40:$R$66,2),0)</f>
        <v>0</v>
      </c>
      <c r="AX44" s="129"/>
      <c r="AY44" s="129"/>
    </row>
    <row r="45" spans="1:58" ht="12.75" customHeight="1" x14ac:dyDescent="0.2">
      <c r="B45" s="476" t="s">
        <v>204</v>
      </c>
      <c r="C45" s="477"/>
      <c r="D45" s="478"/>
      <c r="E45" s="412">
        <f>SUM(AC8:AC39)/Configuration!H41</f>
        <v>0</v>
      </c>
      <c r="F45" s="413"/>
      <c r="G45" s="399">
        <f>SUM(AC8:AC39)</f>
        <v>0</v>
      </c>
      <c r="H45" s="399"/>
      <c r="J45" s="236" t="s">
        <v>216</v>
      </c>
      <c r="K45" s="237"/>
      <c r="L45" s="238"/>
      <c r="M45" s="239">
        <f>IF(MINUTE(SUM(W8:W39))&gt;=30,SUM(W8:W39)+(TIME(1,0,0))-TIME(0,MINUTE(SUM(W8:W39)),0),SUM(W8:W39)-TIME(0,MINUTE(SUM(W8:W39)),0))</f>
        <v>0</v>
      </c>
      <c r="N45" s="237" t="s">
        <v>190</v>
      </c>
      <c r="O45" s="225"/>
      <c r="P45" s="225"/>
      <c r="Q45" s="225"/>
      <c r="R45" s="233"/>
      <c r="S45" s="354">
        <f>IF($R$2="Oui",M45*AK46*24,0)</f>
        <v>0</v>
      </c>
      <c r="T45" s="355"/>
      <c r="U45" s="355"/>
      <c r="V45" s="233" t="s">
        <v>55</v>
      </c>
      <c r="W45" s="234"/>
      <c r="X45" s="235"/>
      <c r="Y45" s="23"/>
      <c r="Z45" s="379"/>
      <c r="AA45" s="380"/>
      <c r="AB45" s="358" t="s">
        <v>68</v>
      </c>
      <c r="AC45" s="359"/>
      <c r="AD45" s="359"/>
      <c r="AE45" s="121">
        <f>AE43*0.0355</f>
        <v>1064.8027908259996</v>
      </c>
      <c r="AG45" s="358" t="s">
        <v>77</v>
      </c>
      <c r="AH45" s="359"/>
      <c r="AI45" s="359"/>
      <c r="AJ45" s="359"/>
      <c r="AK45" s="136">
        <f>AK44*0.2</f>
        <v>1.8646327105971823</v>
      </c>
      <c r="AM45" s="391" t="str">
        <f>IF(Configuration!$H$30="Dagen","Opgenomen Congé Synd.dagen:","Opgenomen Congé Synd.uren:")</f>
        <v>Opgenomen Congé Synd.uren:</v>
      </c>
      <c r="AN45" s="392"/>
      <c r="AO45" s="392"/>
      <c r="AP45" s="392"/>
      <c r="AQ45" s="469">
        <f>IF(Configuration!$H$30="Dagen",SUM(AD8:AD39)/Configuration!H41,SUM(AD8:AD39))</f>
        <v>0</v>
      </c>
      <c r="AR45" s="470"/>
      <c r="AV45" s="18" t="s">
        <v>3</v>
      </c>
      <c r="AW45" s="129">
        <f>IF(($R$41=AV45)*AND($R$42&lt;&gt;""),VLOOKUP($R$42,'Barèmes police'!$AO$40:$AP$66,2),0)</f>
        <v>0</v>
      </c>
    </row>
    <row r="46" spans="1:58" ht="12.75" customHeight="1" x14ac:dyDescent="0.2">
      <c r="B46" s="409" t="s">
        <v>254</v>
      </c>
      <c r="C46" s="410"/>
      <c r="D46" s="411"/>
      <c r="E46" s="461">
        <f>E42+E43+E44-E45</f>
        <v>34</v>
      </c>
      <c r="F46" s="462"/>
      <c r="G46" s="400">
        <f>G42+G43+G44-G45</f>
        <v>10.766666666666666</v>
      </c>
      <c r="H46" s="401"/>
      <c r="J46" s="236" t="s">
        <v>218</v>
      </c>
      <c r="K46" s="237"/>
      <c r="L46" s="238"/>
      <c r="M46" s="239">
        <f>IF(MINUTE(SUM(X8:X39))&gt;=30,SUM(X8:X39)+(TIME(1,0,0))-TIME(0,MINUTE(SUM(X8:X39)),0),SUM(X8:X39)-TIME(0,MINUTE(SUM(X8:X39)),0))</f>
        <v>0</v>
      </c>
      <c r="N46" s="237" t="s">
        <v>190</v>
      </c>
      <c r="O46" s="225"/>
      <c r="P46" s="225"/>
      <c r="Q46" s="225"/>
      <c r="R46" s="233"/>
      <c r="S46" s="242"/>
      <c r="T46" s="242"/>
      <c r="U46" s="242"/>
      <c r="V46" s="243"/>
      <c r="W46" s="234">
        <f>IF($R$3="Oui",M46*AK52*24,0)</f>
        <v>0</v>
      </c>
      <c r="X46" s="235" t="s">
        <v>55</v>
      </c>
      <c r="Y46" s="23"/>
      <c r="Z46" s="381">
        <f>AE48</f>
        <v>0.40380000000000005</v>
      </c>
      <c r="AA46" s="382"/>
      <c r="AB46" s="348" t="s">
        <v>69</v>
      </c>
      <c r="AC46" s="349"/>
      <c r="AD46" s="349"/>
      <c r="AE46" s="132">
        <f>AE43-AE44-AE45</f>
        <v>26680.058660273993</v>
      </c>
      <c r="AG46" s="348" t="s">
        <v>78</v>
      </c>
      <c r="AH46" s="349"/>
      <c r="AI46" s="349"/>
      <c r="AJ46" s="349"/>
      <c r="AK46" s="132">
        <f>AK44*0.35</f>
        <v>3.2631072435450683</v>
      </c>
      <c r="AM46" s="375" t="str">
        <f>IF(Configuration!$H$30="Dagen","Resterend aantal dagen:","Resterend aantal uren:")</f>
        <v>Resterend aantal uren:</v>
      </c>
      <c r="AN46" s="376"/>
      <c r="AO46" s="376"/>
      <c r="AP46" s="376"/>
      <c r="AQ46" s="366">
        <f>AQ44-AQ45</f>
        <v>99999</v>
      </c>
      <c r="AR46" s="367"/>
      <c r="AV46" s="18" t="s">
        <v>1</v>
      </c>
      <c r="AW46" s="129">
        <f>IF(($R$41=AV46)*AND($R$42&lt;&gt;""),VLOOKUP($R$42,'Barèmes police'!$T$40:$U$69,2),0)</f>
        <v>0</v>
      </c>
    </row>
    <row r="47" spans="1:58" ht="12.75" customHeight="1" x14ac:dyDescent="0.2">
      <c r="B47" s="23"/>
      <c r="C47" s="23"/>
      <c r="D47" s="23"/>
      <c r="E47" s="23"/>
      <c r="F47" s="23"/>
      <c r="G47" s="23"/>
      <c r="J47" s="236" t="s">
        <v>219</v>
      </c>
      <c r="K47" s="237"/>
      <c r="L47" s="238"/>
      <c r="M47" s="244">
        <f>COUNTIF($Q$8:$Q$38,"1")</f>
        <v>0</v>
      </c>
      <c r="N47" s="225"/>
      <c r="O47" s="362" t="s">
        <v>223</v>
      </c>
      <c r="P47" s="363"/>
      <c r="Q47" s="363"/>
      <c r="R47" s="245">
        <f>COUNTIF($Q$8:$Q$38,"2")</f>
        <v>0</v>
      </c>
      <c r="S47" s="354">
        <f>IF($R$2="Oui",(M47*AE52*Z42+(R47*Z42*2.48)),0)</f>
        <v>0</v>
      </c>
      <c r="T47" s="355"/>
      <c r="U47" s="355"/>
      <c r="V47" s="233" t="s">
        <v>55</v>
      </c>
      <c r="W47" s="234">
        <f>IF($R$3="Oui",(M47*AE52*Z42+(R47*AE52*6.2)),0)</f>
        <v>0</v>
      </c>
      <c r="X47" s="235" t="s">
        <v>55</v>
      </c>
      <c r="Y47" s="23"/>
      <c r="Z47" s="218"/>
      <c r="AA47" s="218"/>
      <c r="AV47" s="18" t="s">
        <v>0</v>
      </c>
      <c r="AW47" s="129">
        <f>IF(($R$41=AV47)*AND($R$42&lt;&gt;""),VLOOKUP($R$42,'Barèmes police'!$W$40:$X$69,2),0)</f>
        <v>0</v>
      </c>
    </row>
    <row r="48" spans="1:58" ht="12.75" customHeight="1" x14ac:dyDescent="0.2">
      <c r="B48" s="368" t="s">
        <v>206</v>
      </c>
      <c r="C48" s="369"/>
      <c r="D48" s="369"/>
      <c r="E48" s="369"/>
      <c r="F48" s="370" t="s">
        <v>180</v>
      </c>
      <c r="G48" s="371"/>
      <c r="J48" s="236" t="s">
        <v>220</v>
      </c>
      <c r="K48" s="237"/>
      <c r="L48" s="238"/>
      <c r="M48" s="244">
        <f>COUNTIF($R$8:$R$38,"1")</f>
        <v>0</v>
      </c>
      <c r="N48" s="225"/>
      <c r="O48" s="362" t="s">
        <v>224</v>
      </c>
      <c r="P48" s="363"/>
      <c r="Q48" s="363"/>
      <c r="R48" s="245">
        <f>COUNTIF($R$8:$R$38,"2")</f>
        <v>0</v>
      </c>
      <c r="S48" s="354">
        <f>IF($R$2="Oui",(M48*AE53*Z42+(R48*Z42*6.2)),0)</f>
        <v>0</v>
      </c>
      <c r="T48" s="355"/>
      <c r="U48" s="355"/>
      <c r="V48" s="233" t="s">
        <v>55</v>
      </c>
      <c r="W48" s="234">
        <f>IF($R$3="Oui",(M48*AE53*Z42+(R48*AE53*6.2)),0)</f>
        <v>0</v>
      </c>
      <c r="X48" s="235" t="s">
        <v>55</v>
      </c>
      <c r="Y48" s="23"/>
      <c r="Z48" s="383" t="s">
        <v>258</v>
      </c>
      <c r="AA48" s="384"/>
      <c r="AB48" s="352" t="s">
        <v>70</v>
      </c>
      <c r="AC48" s="353"/>
      <c r="AD48" s="353"/>
      <c r="AE48" s="134">
        <f>VLOOKUP(AE46,Systeemgegevens!C3:E14,3)/100</f>
        <v>0.40380000000000005</v>
      </c>
      <c r="AG48" s="352" t="s">
        <v>72</v>
      </c>
      <c r="AH48" s="353"/>
      <c r="AI48" s="353"/>
      <c r="AJ48" s="353"/>
      <c r="AK48" s="133">
        <f>X42*1.2434/1850</f>
        <v>8.5597067427027032</v>
      </c>
      <c r="AV48" s="18" t="s">
        <v>61</v>
      </c>
      <c r="AW48" s="129">
        <f>IF(($R$41=AV48)*AND($R$42&lt;&gt;""),VLOOKUP($R$42,'Barèmes police'!$BM$4:$BN$39,2),0)</f>
        <v>0</v>
      </c>
    </row>
    <row r="49" spans="2:49" ht="12.75" customHeight="1" x14ac:dyDescent="0.2">
      <c r="B49" s="17"/>
      <c r="F49" s="17"/>
      <c r="G49" s="17"/>
      <c r="J49" s="236" t="s">
        <v>221</v>
      </c>
      <c r="K49" s="237"/>
      <c r="L49" s="238"/>
      <c r="M49" s="244">
        <f>COUNTIF($S$8:$S$38, "1")</f>
        <v>0</v>
      </c>
      <c r="N49" s="225"/>
      <c r="O49" s="362" t="s">
        <v>225</v>
      </c>
      <c r="P49" s="363"/>
      <c r="Q49" s="363"/>
      <c r="R49" s="245">
        <f>COUNTIF($S$8:$S$38, "2")</f>
        <v>0</v>
      </c>
      <c r="S49" s="354">
        <f>IF($R$2="Oui",(M49*AE54*Z42+(R49*Z42*6.2)),0)</f>
        <v>0</v>
      </c>
      <c r="T49" s="355"/>
      <c r="U49" s="355"/>
      <c r="V49" s="233" t="s">
        <v>55</v>
      </c>
      <c r="W49" s="234">
        <f>IF($R$3="Oui",(M49*AE54*Z42+(R49*AE54*6.2)),0)</f>
        <v>0</v>
      </c>
      <c r="X49" s="235" t="s">
        <v>55</v>
      </c>
      <c r="Y49" s="23"/>
      <c r="Z49" s="364">
        <v>0.23</v>
      </c>
      <c r="AA49" s="365"/>
      <c r="AB49" s="348" t="s">
        <v>71</v>
      </c>
      <c r="AC49" s="349"/>
      <c r="AD49" s="349"/>
      <c r="AE49" s="135">
        <f>1-AE48</f>
        <v>0.59619999999999995</v>
      </c>
      <c r="AG49" s="358" t="s">
        <v>73</v>
      </c>
      <c r="AH49" s="359"/>
      <c r="AI49" s="359"/>
      <c r="AJ49" s="359"/>
      <c r="AK49" s="121">
        <f>AK48*0.9645*AE49*1.45</f>
        <v>7.1370886606880939</v>
      </c>
      <c r="AV49" s="18" t="s">
        <v>263</v>
      </c>
      <c r="AW49" s="218">
        <f>IF(($R$41=AV49)*AND($R$42&lt;&gt;""),VLOOKUP($R$42,'Barèmes police'!$AX$40:$AY$70,2),0)</f>
        <v>0</v>
      </c>
    </row>
    <row r="50" spans="2:49" ht="12.75" customHeight="1" x14ac:dyDescent="0.2">
      <c r="B50" s="372" t="s">
        <v>207</v>
      </c>
      <c r="C50" s="373"/>
      <c r="D50" s="373"/>
      <c r="E50" s="373"/>
      <c r="F50" s="373"/>
      <c r="G50" s="374"/>
      <c r="J50" s="236" t="s">
        <v>222</v>
      </c>
      <c r="K50" s="237"/>
      <c r="L50" s="238"/>
      <c r="M50" s="244">
        <f>COUNTIF($T$8:$T$38,"1")</f>
        <v>0</v>
      </c>
      <c r="N50" s="225"/>
      <c r="O50" s="362" t="s">
        <v>226</v>
      </c>
      <c r="P50" s="363"/>
      <c r="Q50" s="363"/>
      <c r="R50" s="245">
        <f>COUNTIF($T$8:$T$38,"2")</f>
        <v>0</v>
      </c>
      <c r="S50" s="354">
        <f>IF($R$2="Oui",(M50*AE55*Z42+(R50*Z42*3.48)),0)</f>
        <v>0</v>
      </c>
      <c r="T50" s="355"/>
      <c r="U50" s="355"/>
      <c r="V50" s="233" t="s">
        <v>55</v>
      </c>
      <c r="W50" s="234">
        <f>IF($R$3="Oui",(M50*AE55*Z42+(R50*AE55*6.2)),0)</f>
        <v>0</v>
      </c>
      <c r="X50" s="235" t="s">
        <v>55</v>
      </c>
      <c r="Y50" s="23"/>
      <c r="Z50" s="246"/>
      <c r="AA50" s="246"/>
      <c r="AB50" s="148"/>
      <c r="AC50" s="148"/>
      <c r="AD50" s="148"/>
      <c r="AE50" s="153"/>
      <c r="AG50" s="147"/>
      <c r="AH50" s="148"/>
      <c r="AI50" s="148"/>
      <c r="AJ50" s="148"/>
      <c r="AK50" s="121"/>
      <c r="AV50" s="18" t="s">
        <v>264</v>
      </c>
      <c r="AW50" s="218">
        <f>IF(($R$41=AV50)*AND($R$42&lt;&gt;""),VLOOKUP($R$42,'Barèmes police'!$BA$40:$BB$70,2),0)</f>
        <v>0</v>
      </c>
    </row>
    <row r="51" spans="2:49" ht="12.75" customHeight="1" x14ac:dyDescent="0.2">
      <c r="B51" s="395" t="s">
        <v>208</v>
      </c>
      <c r="C51" s="396"/>
      <c r="D51" s="396"/>
      <c r="E51" s="396"/>
      <c r="F51" s="151"/>
      <c r="G51" s="152"/>
      <c r="J51" s="236" t="s">
        <v>227</v>
      </c>
      <c r="K51" s="237"/>
      <c r="L51" s="238"/>
      <c r="M51" s="239">
        <f>IF(P38-F52&gt;=1/49,IF(AND(O38="+",F48="Oui"),IF(MINUTE(P38-F52)&gt;=30,P38-F52+(TIME(1,0,0))-TIME(0,MINUTE(P38-F52),0),P38-F52-TIME(0,MINUTE(P38-F52),0)),0),0)</f>
        <v>0</v>
      </c>
      <c r="N51" s="225" t="s">
        <v>190</v>
      </c>
      <c r="O51" s="360" t="s">
        <v>253</v>
      </c>
      <c r="P51" s="360"/>
      <c r="Q51" s="360"/>
      <c r="R51" s="361"/>
      <c r="S51" s="354">
        <f>IF($R$2="Oui",M51*AK44*24,0)</f>
        <v>0</v>
      </c>
      <c r="T51" s="355"/>
      <c r="U51" s="355"/>
      <c r="V51" s="233" t="s">
        <v>55</v>
      </c>
      <c r="W51" s="234">
        <f>IF($R$3="Oui",M51*AK51*24,0)</f>
        <v>0</v>
      </c>
      <c r="X51" s="235" t="s">
        <v>55</v>
      </c>
      <c r="Y51" s="23"/>
      <c r="Z51" s="246"/>
      <c r="AA51" s="246"/>
      <c r="AG51" s="358" t="s">
        <v>74</v>
      </c>
      <c r="AH51" s="359"/>
      <c r="AI51" s="359"/>
      <c r="AJ51" s="359"/>
      <c r="AK51" s="121">
        <f>(W42*1.2434/1850)*0.9645*AE49</f>
        <v>5.1824281750374874</v>
      </c>
      <c r="AV51" s="18" t="s">
        <v>265</v>
      </c>
      <c r="AW51" s="218">
        <f>IF(($R$41=AV51)*AND($R$42&lt;&gt;""),VLOOKUP($R$42,'Barèmes police'!$BD$40:$BE$70,2),0)</f>
        <v>0</v>
      </c>
    </row>
    <row r="52" spans="2:49" ht="12.75" customHeight="1" x14ac:dyDescent="0.2">
      <c r="B52" s="385" t="s">
        <v>209</v>
      </c>
      <c r="C52" s="386"/>
      <c r="D52" s="386"/>
      <c r="E52" s="386"/>
      <c r="F52" s="356">
        <v>0</v>
      </c>
      <c r="G52" s="357"/>
      <c r="J52" s="236" t="s">
        <v>228</v>
      </c>
      <c r="K52" s="237"/>
      <c r="L52" s="238"/>
      <c r="M52" s="247">
        <f>SUM(AT8:AT39)</f>
        <v>0</v>
      </c>
      <c r="N52" s="225" t="s">
        <v>214</v>
      </c>
      <c r="O52" s="360"/>
      <c r="P52" s="360"/>
      <c r="Q52" s="360"/>
      <c r="R52" s="361"/>
      <c r="S52" s="354">
        <f>IF($R$2="Oui",M52*6.7*Z42,0)</f>
        <v>0</v>
      </c>
      <c r="T52" s="355"/>
      <c r="U52" s="355"/>
      <c r="V52" s="233" t="s">
        <v>55</v>
      </c>
      <c r="W52" s="234">
        <f>IF($R$3="Oui",M52*6.7*Z42,0)</f>
        <v>0</v>
      </c>
      <c r="X52" s="235" t="s">
        <v>55</v>
      </c>
      <c r="Y52" s="23"/>
      <c r="Z52" s="246"/>
      <c r="AA52" s="246"/>
      <c r="AB52" s="352" t="s">
        <v>79</v>
      </c>
      <c r="AC52" s="353"/>
      <c r="AD52" s="353"/>
      <c r="AE52" s="133">
        <v>1.24</v>
      </c>
      <c r="AG52" s="348" t="s">
        <v>76</v>
      </c>
      <c r="AH52" s="349"/>
      <c r="AI52" s="349"/>
      <c r="AJ52" s="349"/>
      <c r="AK52" s="131">
        <f>AK48*0.325*0.9645*AE49</f>
        <v>1.5996922860162968</v>
      </c>
      <c r="AV52" s="18" t="s">
        <v>266</v>
      </c>
      <c r="AW52" s="218">
        <f>IF(($R$41=AV52)*AND($R$42&lt;&gt;""),VLOOKUP($R$42,'Barèmes police'!$BG$40:$BH$70,2),0)</f>
        <v>0</v>
      </c>
    </row>
    <row r="53" spans="2:49" ht="12.75" customHeight="1" x14ac:dyDescent="0.2">
      <c r="B53" s="387" t="s">
        <v>210</v>
      </c>
      <c r="C53" s="388"/>
      <c r="D53" s="388"/>
      <c r="E53" s="388"/>
      <c r="F53" s="350">
        <v>0</v>
      </c>
      <c r="G53" s="351"/>
      <c r="J53" s="236" t="s">
        <v>229</v>
      </c>
      <c r="K53" s="237"/>
      <c r="L53" s="238"/>
      <c r="M53" s="244">
        <f>SUM(Y8:Y39)</f>
        <v>0</v>
      </c>
      <c r="N53" s="237" t="s">
        <v>56</v>
      </c>
      <c r="O53" s="248"/>
      <c r="P53" s="248"/>
      <c r="Q53" s="248"/>
      <c r="R53" s="249"/>
      <c r="S53" s="354">
        <f>IF($R$2="Oui",M53*Z49,0)</f>
        <v>0</v>
      </c>
      <c r="T53" s="355"/>
      <c r="U53" s="355"/>
      <c r="V53" s="233" t="s">
        <v>55</v>
      </c>
      <c r="W53" s="234">
        <f>IF($R$3="Oui",M53*Z49,0)</f>
        <v>0</v>
      </c>
      <c r="X53" s="235" t="s">
        <v>55</v>
      </c>
      <c r="Y53" s="23"/>
      <c r="Z53" s="246"/>
      <c r="AA53" s="246"/>
      <c r="AB53" s="358" t="s">
        <v>80</v>
      </c>
      <c r="AC53" s="359"/>
      <c r="AD53" s="359"/>
      <c r="AE53" s="121">
        <v>2.48</v>
      </c>
    </row>
    <row r="54" spans="2:49" ht="12.75" customHeight="1" x14ac:dyDescent="0.2">
      <c r="J54" s="236" t="s">
        <v>244</v>
      </c>
      <c r="K54" s="237"/>
      <c r="L54" s="238"/>
      <c r="M54" s="239">
        <f>IF(MINUTE(SUM(Z8:Z39))&gt;=30,SUM(Z8:Z39)+(TIME(1,0,0))-TIME(0,MINUTE(SUM(Z8:Z39)),0),SUM(Z8:Z39)-TIME(0,MINUTE(SUM(Z8:Z39)),0))</f>
        <v>0</v>
      </c>
      <c r="N54" s="237" t="s">
        <v>190</v>
      </c>
      <c r="O54" s="248"/>
      <c r="P54" s="248"/>
      <c r="Q54" s="248"/>
      <c r="R54" s="249"/>
      <c r="S54" s="354">
        <f>IF($R$2="Oui",M54*AK54*24,0)</f>
        <v>0</v>
      </c>
      <c r="T54" s="355"/>
      <c r="U54" s="355"/>
      <c r="V54" s="233" t="s">
        <v>55</v>
      </c>
      <c r="W54" s="234">
        <f>IF($R$3="Oui",M54*AK54*24,0)</f>
        <v>0</v>
      </c>
      <c r="X54" s="235" t="s">
        <v>55</v>
      </c>
      <c r="Y54" s="23"/>
      <c r="Z54" s="246"/>
      <c r="AA54" s="246"/>
      <c r="AB54" s="358" t="s">
        <v>81</v>
      </c>
      <c r="AC54" s="359"/>
      <c r="AD54" s="359"/>
      <c r="AE54" s="121">
        <v>2.48</v>
      </c>
      <c r="AG54" s="352" t="s">
        <v>83</v>
      </c>
      <c r="AH54" s="353"/>
      <c r="AI54" s="353"/>
      <c r="AJ54" s="353"/>
      <c r="AK54" s="130">
        <f>AK44/24</f>
        <v>0.38846514804107962</v>
      </c>
    </row>
    <row r="55" spans="2:49" ht="12.75" customHeight="1" x14ac:dyDescent="0.2">
      <c r="J55" s="236" t="s">
        <v>230</v>
      </c>
      <c r="K55" s="237"/>
      <c r="L55" s="238"/>
      <c r="M55" s="239">
        <f>IF(MINUTE(SUM(AA8:AA39))&gt;=30,SUM(AA8:AA39)+(TIME(1,0,0))-TIME(0,MINUTE(SUM(AA8:AA39)),0),SUM(AA8:AA39)-TIME(0,MINUTE(SUM(AA8:AA39)),0))</f>
        <v>0</v>
      </c>
      <c r="N55" s="237" t="s">
        <v>190</v>
      </c>
      <c r="O55" s="248"/>
      <c r="P55" s="248"/>
      <c r="Q55" s="248"/>
      <c r="R55" s="249"/>
      <c r="S55" s="354">
        <f>IF($R$2="Oui",M55*AK55*24,0)</f>
        <v>0</v>
      </c>
      <c r="T55" s="355"/>
      <c r="U55" s="355"/>
      <c r="V55" s="233" t="s">
        <v>55</v>
      </c>
      <c r="W55" s="234">
        <f>IF($R$3="Oui",M55*AK55*24,0)</f>
        <v>0</v>
      </c>
      <c r="X55" s="235" t="s">
        <v>55</v>
      </c>
      <c r="Y55" s="23"/>
      <c r="Z55" s="246"/>
      <c r="AA55" s="246"/>
      <c r="AB55" s="348" t="s">
        <v>82</v>
      </c>
      <c r="AC55" s="349"/>
      <c r="AD55" s="349"/>
      <c r="AE55" s="131">
        <v>1.74</v>
      </c>
      <c r="AG55" s="348" t="s">
        <v>84</v>
      </c>
      <c r="AH55" s="349"/>
      <c r="AI55" s="349"/>
      <c r="AJ55" s="349"/>
      <c r="AK55" s="132">
        <f>AK44/15</f>
        <v>0.62154423686572735</v>
      </c>
    </row>
    <row r="56" spans="2:49" ht="12.75" customHeight="1" x14ac:dyDescent="0.2">
      <c r="J56" s="223" t="s">
        <v>57</v>
      </c>
      <c r="K56" s="224"/>
      <c r="L56" s="250"/>
      <c r="M56" s="251">
        <f>SUM(AS8:AS39)</f>
        <v>0</v>
      </c>
      <c r="N56" s="225" t="s">
        <v>214</v>
      </c>
      <c r="O56" s="252"/>
      <c r="P56" s="252"/>
      <c r="Q56" s="252"/>
      <c r="R56" s="253"/>
      <c r="S56" s="471">
        <f>IF($R$2="Oui",M56*2.81*Z42*AE49,0)</f>
        <v>0</v>
      </c>
      <c r="T56" s="472"/>
      <c r="U56" s="472"/>
      <c r="V56" s="233" t="s">
        <v>55</v>
      </c>
      <c r="W56" s="234">
        <f>IF($R$3="Oui",M56*2.81*Z42*AE49,0)</f>
        <v>0</v>
      </c>
      <c r="X56" s="235" t="s">
        <v>55</v>
      </c>
      <c r="Y56" s="23"/>
      <c r="Z56" s="246"/>
      <c r="AA56" s="246"/>
    </row>
    <row r="57" spans="2:49" ht="12.75" customHeight="1" x14ac:dyDescent="0.2">
      <c r="J57" s="254"/>
      <c r="K57" s="254"/>
      <c r="L57" s="24"/>
      <c r="M57" s="255"/>
      <c r="N57" s="256"/>
      <c r="O57" s="257"/>
      <c r="P57" s="23"/>
      <c r="Q57" s="258"/>
      <c r="R57" s="259" t="s">
        <v>262</v>
      </c>
      <c r="S57" s="473">
        <f>IF($R$2="Oui",SUM(S43:U56),0)</f>
        <v>0</v>
      </c>
      <c r="T57" s="474"/>
      <c r="U57" s="474"/>
      <c r="V57" s="260" t="s">
        <v>55</v>
      </c>
      <c r="W57" s="261">
        <f>IF($R$3="Oui",SUM(W43:W56),0)</f>
        <v>0</v>
      </c>
      <c r="X57" s="262" t="s">
        <v>55</v>
      </c>
      <c r="Y57" s="23"/>
      <c r="Z57" s="246"/>
      <c r="AA57" s="246"/>
    </row>
    <row r="58" spans="2:49" ht="12.75" customHeight="1" x14ac:dyDescent="0.2">
      <c r="Y58" s="17"/>
      <c r="AB58" s="448" t="s">
        <v>164</v>
      </c>
      <c r="AC58" s="449"/>
      <c r="AD58" s="450"/>
    </row>
    <row r="59" spans="2:49" ht="12.75" customHeight="1" x14ac:dyDescent="0.2">
      <c r="AB59" s="451">
        <f>Configuration!$H$30</f>
        <v>0</v>
      </c>
      <c r="AC59" s="452"/>
      <c r="AD59" s="453"/>
    </row>
    <row r="70" spans="48:49" ht="12.75" customHeight="1" x14ac:dyDescent="0.2">
      <c r="AV70" s="141" t="s">
        <v>270</v>
      </c>
      <c r="AW70" s="290">
        <f>IF(($R$41=AV70)*AND($R$42&lt;&gt;""),VLOOKUP($R$42,'Barèmes CALOG'!$B$4:$C$34,2),0)</f>
        <v>0</v>
      </c>
    </row>
    <row r="71" spans="48:49" ht="12.75" customHeight="1" x14ac:dyDescent="0.2">
      <c r="AV71" s="141" t="s">
        <v>271</v>
      </c>
      <c r="AW71" s="290">
        <f>IF(($R$41=AV71)*AND($R$42&lt;&gt;""),VLOOKUP($R$42,'Barèmes CALOG'!$E$4:$F$34,2),0)</f>
        <v>0</v>
      </c>
    </row>
    <row r="72" spans="48:49" ht="12.75" customHeight="1" x14ac:dyDescent="0.2">
      <c r="AV72" s="141" t="s">
        <v>272</v>
      </c>
      <c r="AW72" s="290">
        <f>IF(($R$41=AV72)*AND($R$42&lt;&gt;""),VLOOKUP($R$42,'Barèmes CALOG'!$H$4:$I$34,2),0)</f>
        <v>0</v>
      </c>
    </row>
    <row r="73" spans="48:49" ht="12.75" customHeight="1" x14ac:dyDescent="0.2">
      <c r="AV73" s="141" t="s">
        <v>273</v>
      </c>
      <c r="AW73" s="290">
        <f>IF(($R$41=AV73)*AND($R$42&lt;&gt;""),VLOOKUP($R$42,'Barèmes CALOG'!$K$4:$L$34,2),0)</f>
        <v>0</v>
      </c>
    </row>
    <row r="74" spans="48:49" ht="12.75" customHeight="1" x14ac:dyDescent="0.2">
      <c r="AV74" s="141" t="s">
        <v>274</v>
      </c>
      <c r="AW74" s="290">
        <f>IF(($R$41=AV74)*AND($R$42&lt;&gt;""),VLOOKUP($R$42,'Barèmes CALOG'!$N$4:$O$34,2),0)</f>
        <v>0</v>
      </c>
    </row>
    <row r="75" spans="48:49" ht="12.75" customHeight="1" x14ac:dyDescent="0.2">
      <c r="AV75" s="141" t="s">
        <v>275</v>
      </c>
      <c r="AW75" s="290">
        <f>IF(($R$41=AV75)*AND($R$42&lt;&gt;""),VLOOKUP($R$42,'Barèmes CALOG'!$Q$4:$R$34,2),0)</f>
        <v>0</v>
      </c>
    </row>
    <row r="76" spans="48:49" ht="12.75" customHeight="1" x14ac:dyDescent="0.2">
      <c r="AV76" s="141" t="s">
        <v>276</v>
      </c>
      <c r="AW76" s="290">
        <f>IF(($R$41=AV76)*AND($R$42&lt;&gt;""),VLOOKUP($R$42,'Barèmes CALOG'!$T$4:$U$34,2),0)</f>
        <v>0</v>
      </c>
    </row>
    <row r="77" spans="48:49" ht="12.75" customHeight="1" x14ac:dyDescent="0.2">
      <c r="AV77" s="141" t="s">
        <v>277</v>
      </c>
      <c r="AW77" s="290">
        <f>IF(($R$41=AV77)*AND($R$42&lt;&gt;""),VLOOKUP($R$42,'Barèmes CALOG'!$W$4:$X$34,2),0)</f>
        <v>0</v>
      </c>
    </row>
    <row r="78" spans="48:49" ht="12.75" customHeight="1" x14ac:dyDescent="0.2">
      <c r="AV78" s="141" t="s">
        <v>278</v>
      </c>
      <c r="AW78" s="290">
        <f>IF(($R$41=AV78)*AND($R$42&lt;&gt;""),VLOOKUP($R$42,'Barèmes CALOG'!$Z$4:$AA$34,2),0)</f>
        <v>0</v>
      </c>
    </row>
    <row r="79" spans="48:49" ht="12.75" customHeight="1" x14ac:dyDescent="0.2">
      <c r="AV79" s="141" t="s">
        <v>279</v>
      </c>
      <c r="AW79" s="290">
        <f>IF(($R$41=AV79)*AND($R$42&lt;&gt;""),VLOOKUP($R$42,'Barèmes CALOG'!$AC$4:$AD$34,2),0)</f>
        <v>0</v>
      </c>
    </row>
    <row r="80" spans="48:49" ht="12.75" customHeight="1" x14ac:dyDescent="0.2">
      <c r="AV80" s="141" t="s">
        <v>280</v>
      </c>
      <c r="AW80" s="290">
        <f>IF(($R$41=AV80)*AND($R$42&lt;&gt;""),VLOOKUP($R$42,'Barèmes CALOG'!$AF$4:$AG$34,2),0)</f>
        <v>0</v>
      </c>
    </row>
    <row r="81" spans="48:49" ht="12.75" customHeight="1" x14ac:dyDescent="0.2">
      <c r="AV81" s="141" t="s">
        <v>281</v>
      </c>
      <c r="AW81" s="290">
        <f>IF(($R$41=AV81)*AND($R$42&lt;&gt;""),VLOOKUP($R$42,'Barèmes CALOG'!$AI$4:$AJ$34,2),0)</f>
        <v>0</v>
      </c>
    </row>
    <row r="82" spans="48:49" ht="12.75" customHeight="1" x14ac:dyDescent="0.2">
      <c r="AV82" s="141" t="s">
        <v>282</v>
      </c>
      <c r="AW82" s="290">
        <f>IF(($R$41=AV82)*AND($R$42&lt;&gt;""),VLOOKUP($R$42,'Barèmes CALOG'!$AL$4:$AM$34,2),0)</f>
        <v>0</v>
      </c>
    </row>
    <row r="83" spans="48:49" ht="12.75" customHeight="1" x14ac:dyDescent="0.2">
      <c r="AV83" s="141" t="s">
        <v>283</v>
      </c>
      <c r="AW83" s="290">
        <f>IF(($R$41=AV83)*AND($R$42&lt;&gt;""),VLOOKUP($R$42,'Barèmes CALOG'!$AO$4:$AP$34,2),0)</f>
        <v>0</v>
      </c>
    </row>
    <row r="84" spans="48:49" ht="12.75" customHeight="1" x14ac:dyDescent="0.2">
      <c r="AV84" s="141" t="s">
        <v>284</v>
      </c>
      <c r="AW84" s="290">
        <f>IF(($R$41=AV84)*AND($R$42&lt;&gt;""),VLOOKUP($R$42,'Barèmes CALOG'!$AR$4:$AS$34,2),0)</f>
        <v>0</v>
      </c>
    </row>
    <row r="85" spans="48:49" ht="12.75" customHeight="1" x14ac:dyDescent="0.2">
      <c r="AV85" s="141" t="s">
        <v>285</v>
      </c>
      <c r="AW85" s="290">
        <f>IF(($R$41=AV85)*AND($R$42&lt;&gt;""),VLOOKUP($R$42,'Barèmes CALOG'!$AU$4:$AV$34,2),0)</f>
        <v>0</v>
      </c>
    </row>
    <row r="86" spans="48:49" ht="12.75" customHeight="1" x14ac:dyDescent="0.2">
      <c r="AV86" s="141" t="s">
        <v>286</v>
      </c>
      <c r="AW86" s="290">
        <f>IF(($R$41=AV86)*AND($R$42&lt;&gt;""),VLOOKUP($R$42,'Barèmes CALOG'!$AX$4:$AY$34,2),0)</f>
        <v>0</v>
      </c>
    </row>
    <row r="87" spans="48:49" ht="12.75" customHeight="1" x14ac:dyDescent="0.2">
      <c r="AV87" s="141" t="s">
        <v>287</v>
      </c>
      <c r="AW87" s="290">
        <f>IF(($R$41=AV87)*AND($R$42&lt;&gt;""),VLOOKUP($R$42,'Barèmes CALOG'!$BA$4:$BB$34,2),0)</f>
        <v>0</v>
      </c>
    </row>
    <row r="88" spans="48:49" ht="12.75" customHeight="1" x14ac:dyDescent="0.2">
      <c r="AV88" s="141" t="s">
        <v>288</v>
      </c>
      <c r="AW88" s="290">
        <f>IF(($R$41=AV88)*AND($R$42&lt;&gt;""),VLOOKUP($R$42,'Barèmes CALOG'!$BD$4:$BE$34,2),0)</f>
        <v>0</v>
      </c>
    </row>
    <row r="89" spans="48:49" ht="12.75" customHeight="1" x14ac:dyDescent="0.2">
      <c r="AV89" s="141" t="s">
        <v>289</v>
      </c>
      <c r="AW89" s="290">
        <f>IF(($R$41=AV89)*AND($R$42&lt;&gt;""),VLOOKUP($R$42,'Barèmes CALOG'!$BG$4:$BH$34,2),0)</f>
        <v>0</v>
      </c>
    </row>
    <row r="90" spans="48:49" ht="12.75" customHeight="1" x14ac:dyDescent="0.2">
      <c r="AV90" s="141" t="s">
        <v>290</v>
      </c>
      <c r="AW90" s="290">
        <f>IF(($R$41=AV90)*AND($R$42&lt;&gt;""),VLOOKUP($R$42,'Barèmes CALOG'!$BJ$4:$BK$34,2),0)</f>
        <v>0</v>
      </c>
    </row>
    <row r="91" spans="48:49" ht="12.75" customHeight="1" x14ac:dyDescent="0.2">
      <c r="AV91" s="141" t="s">
        <v>291</v>
      </c>
      <c r="AW91" s="290">
        <f>IF(($R$41=AV91)*AND($R$42&lt;&gt;""),VLOOKUP($R$42,'Barèmes CALOG'!$BM$4:$BN$34,2),0)</f>
        <v>0</v>
      </c>
    </row>
    <row r="92" spans="48:49" ht="12.75" customHeight="1" x14ac:dyDescent="0.2">
      <c r="AV92" s="141" t="s">
        <v>292</v>
      </c>
      <c r="AW92" s="290">
        <f>IF(($R$41=AV92)*AND($R$42&lt;&gt;""),VLOOKUP($R$42,'Barèmes CALOG'!$BP$4:$BQ$34,2),0)</f>
        <v>0</v>
      </c>
    </row>
    <row r="93" spans="48:49" ht="12.75" customHeight="1" x14ac:dyDescent="0.2">
      <c r="AV93" s="141" t="s">
        <v>293</v>
      </c>
      <c r="AW93" s="290">
        <f>IF(($R$41=AV93)*AND($R$42&lt;&gt;""),VLOOKUP($R$42,'Barèmes CALOG'!$BS$4:$BT$34,2),0)</f>
        <v>0</v>
      </c>
    </row>
    <row r="94" spans="48:49" ht="12.75" customHeight="1" x14ac:dyDescent="0.2">
      <c r="AV94" s="141" t="s">
        <v>294</v>
      </c>
      <c r="AW94" s="290">
        <f>IF(($R$41=AV94)*AND($R$42&lt;&gt;""),VLOOKUP($R$42,'Barèmes CALOG'!$BV$4:$BW$34,2),0)</f>
        <v>0</v>
      </c>
    </row>
    <row r="95" spans="48:49" ht="12.75" customHeight="1" x14ac:dyDescent="0.2">
      <c r="AV95" s="141" t="s">
        <v>295</v>
      </c>
      <c r="AW95" s="290">
        <f>IF(($R$41=AV95)*AND($R$42&lt;&gt;""),VLOOKUP($R$42,'Barèmes CALOG'!$BY$4:$BZ$34,2),0)</f>
        <v>0</v>
      </c>
    </row>
    <row r="96" spans="48:49" ht="12.75" customHeight="1" x14ac:dyDescent="0.2">
      <c r="AV96" s="141" t="s">
        <v>296</v>
      </c>
      <c r="AW96" s="290">
        <f>IF(($R$41=AV96)*AND($R$42&lt;&gt;""),VLOOKUP($R$42,'Barèmes CALOG'!$CB$4:$CC$34,2),0)</f>
        <v>0</v>
      </c>
    </row>
    <row r="97" spans="48:49" ht="12.75" customHeight="1" x14ac:dyDescent="0.2">
      <c r="AV97" s="141" t="s">
        <v>297</v>
      </c>
      <c r="AW97" s="290">
        <f>IF(($R$41=AV97)*AND($R$42&lt;&gt;""),VLOOKUP($R$42,'Barèmes CALOG'!$CE$4:$CF$34,2),0)</f>
        <v>0</v>
      </c>
    </row>
    <row r="98" spans="48:49" ht="12.75" customHeight="1" x14ac:dyDescent="0.2">
      <c r="AV98" s="141" t="s">
        <v>298</v>
      </c>
      <c r="AW98" s="290">
        <f>IF(($R$41=AV98)*AND($R$42&lt;&gt;""),VLOOKUP($R$42,'Barèmes CALOG'!$CH$4:$CI$34,2),0)</f>
        <v>0</v>
      </c>
    </row>
    <row r="99" spans="48:49" ht="12.75" customHeight="1" x14ac:dyDescent="0.2">
      <c r="AV99" s="141" t="s">
        <v>299</v>
      </c>
      <c r="AW99" s="290">
        <f>IF(($R$41=AV99)*AND($R$42&lt;&gt;""),VLOOKUP($R$42,'Barèmes CALOG'!$CK$4:$CL$34,2),0)</f>
        <v>0</v>
      </c>
    </row>
    <row r="100" spans="48:49" ht="12.75" customHeight="1" x14ac:dyDescent="0.2">
      <c r="AV100" s="141" t="s">
        <v>300</v>
      </c>
      <c r="AW100" s="290">
        <f>IF(($R$41=AV100)*AND($R$42&lt;&gt;""),VLOOKUP($R$42,'Barèmes CALOG'!$CN$4:$CO$34,2),0)</f>
        <v>0</v>
      </c>
    </row>
    <row r="101" spans="48:49" ht="12.75" customHeight="1" x14ac:dyDescent="0.2">
      <c r="AV101" s="141" t="s">
        <v>301</v>
      </c>
      <c r="AW101" s="290">
        <f>IF(($R$41=AV101)*AND($R$42&lt;&gt;""),VLOOKUP($R$42,'Barèmes CALOG'!$CQ$4:$CR$34,2),0)</f>
        <v>0</v>
      </c>
    </row>
    <row r="102" spans="48:49" ht="12.75" customHeight="1" x14ac:dyDescent="0.2">
      <c r="AV102" s="141" t="s">
        <v>302</v>
      </c>
      <c r="AW102" s="290">
        <f>IF(($R$41=AV102)*AND($R$42&lt;&gt;""),VLOOKUP($R$42,'Barèmes CALOG'!$CT$4:$CU$34,2),0)</f>
        <v>0</v>
      </c>
    </row>
    <row r="103" spans="48:49" ht="12.75" customHeight="1" x14ac:dyDescent="0.2">
      <c r="AV103" s="141" t="s">
        <v>303</v>
      </c>
      <c r="AW103" s="290">
        <f>IF(($R$41=AV103)*AND($R$42&lt;&gt;""),VLOOKUP($R$42,'Barèmes CALOG'!$CW$4:$CX$34,2),0)</f>
        <v>0</v>
      </c>
    </row>
    <row r="104" spans="48:49" ht="12.75" customHeight="1" x14ac:dyDescent="0.2">
      <c r="AV104" s="141" t="s">
        <v>304</v>
      </c>
      <c r="AW104" s="290">
        <f>IF(($R$41=AV104)*AND($R$42&lt;&gt;""),VLOOKUP($R$42,'Barèmes CALOG'!$B$40:$C$70,2),0)</f>
        <v>0</v>
      </c>
    </row>
    <row r="105" spans="48:49" ht="12.75" customHeight="1" x14ac:dyDescent="0.2">
      <c r="AV105" s="141" t="s">
        <v>305</v>
      </c>
      <c r="AW105" s="290">
        <f>IF(($R$41=AV105)*AND($R$42&lt;&gt;""),VLOOKUP($R$42,'Barèmes CALOG'!$E$40:$F$70,2),0)</f>
        <v>0</v>
      </c>
    </row>
    <row r="106" spans="48:49" ht="12.75" customHeight="1" x14ac:dyDescent="0.2">
      <c r="AV106" s="141" t="s">
        <v>306</v>
      </c>
      <c r="AW106" s="290">
        <f>IF(($R$41=AV106)*AND($R$42&lt;&gt;""),VLOOKUP($R$42,'Barèmes CALOG'!$H$40:$I$70,2),0)</f>
        <v>0</v>
      </c>
    </row>
    <row r="107" spans="48:49" ht="12.75" customHeight="1" x14ac:dyDescent="0.2">
      <c r="AV107" s="141" t="s">
        <v>307</v>
      </c>
      <c r="AW107" s="290">
        <f>IF(($R$41=AV107)*AND($R$42&lt;&gt;""),VLOOKUP($R$42,'Barèmes CALOG'!$K$40:$L$70,2),0)</f>
        <v>0</v>
      </c>
    </row>
    <row r="108" spans="48:49" ht="12.75" customHeight="1" x14ac:dyDescent="0.2">
      <c r="AV108" s="141" t="s">
        <v>308</v>
      </c>
      <c r="AW108" s="290">
        <f>IF(($R$41=AV108)*AND($R$42&lt;&gt;""),VLOOKUP($R$42,'Barèmes CALOG'!$N$40:$O$70,2),0)</f>
        <v>0</v>
      </c>
    </row>
    <row r="109" spans="48:49" ht="12.75" customHeight="1" x14ac:dyDescent="0.2">
      <c r="AV109" s="141" t="s">
        <v>309</v>
      </c>
      <c r="AW109" s="290">
        <f>IF(($R$41=AV109)*AND($R$42&lt;&gt;""),VLOOKUP($R$42,'Barèmes CALOG'!$Q$40:$R$70,2),0)</f>
        <v>0</v>
      </c>
    </row>
    <row r="110" spans="48:49" ht="12.75" customHeight="1" x14ac:dyDescent="0.2">
      <c r="AV110" s="141" t="s">
        <v>310</v>
      </c>
      <c r="AW110" s="290">
        <f>IF(($R$41=AV110)*AND($R$42&lt;&gt;""),VLOOKUP($R$42,'Barèmes CALOG'!$T$40:$U$70,2),0)</f>
        <v>0</v>
      </c>
    </row>
    <row r="111" spans="48:49" ht="12.75" customHeight="1" x14ac:dyDescent="0.2">
      <c r="AV111" s="141" t="s">
        <v>311</v>
      </c>
      <c r="AW111" s="290">
        <f>IF(($R$41=AV111)*AND($R$42&lt;&gt;""),VLOOKUP($R$42,'Barèmes CALOG'!$W$40:$X$70,2),0)</f>
        <v>0</v>
      </c>
    </row>
    <row r="112" spans="48:49" ht="12.75" customHeight="1" x14ac:dyDescent="0.2">
      <c r="AV112" s="141" t="s">
        <v>312</v>
      </c>
      <c r="AW112" s="290">
        <f>IF(($R$41=AV112)*AND($R$42&lt;&gt;""),VLOOKUP($R$42,'Barèmes CALOG'!$Z$40:$AA$70,2),0)</f>
        <v>0</v>
      </c>
    </row>
    <row r="113" spans="48:49" ht="12.75" customHeight="1" x14ac:dyDescent="0.2">
      <c r="AV113" s="141" t="s">
        <v>313</v>
      </c>
      <c r="AW113" s="290">
        <f>IF(($R$41=AV113)*AND($R$42&lt;&gt;""),VLOOKUP($R$42,'Barèmes CALOG'!$AC$40:$AD$70,2),0)</f>
        <v>0</v>
      </c>
    </row>
    <row r="114" spans="48:49" ht="12.75" customHeight="1" x14ac:dyDescent="0.2">
      <c r="AV114" s="141" t="s">
        <v>314</v>
      </c>
      <c r="AW114" s="290">
        <f>IF(($R$41=AV114)*AND($R$42&lt;&gt;""),VLOOKUP($R$42,'Barèmes CALOG'!$AF$40:$AG$70,2),0)</f>
        <v>0</v>
      </c>
    </row>
    <row r="115" spans="48:49" ht="12.75" customHeight="1" x14ac:dyDescent="0.2">
      <c r="AV115" s="141" t="s">
        <v>315</v>
      </c>
      <c r="AW115" s="290">
        <f>IF(($R$41=AV115)*AND($R$42&lt;&gt;""),VLOOKUP($R$42,'Barèmes CALOG'!$AI$40:$AJ$70,2),0)</f>
        <v>0</v>
      </c>
    </row>
    <row r="116" spans="48:49" ht="12.75" customHeight="1" x14ac:dyDescent="0.2">
      <c r="AV116" s="141" t="s">
        <v>316</v>
      </c>
      <c r="AW116" s="290">
        <f>IF(($R$41=AV116)*AND($R$42&lt;&gt;""),VLOOKUP($R$42,'Barèmes CALOG'!$AL$40:$AM$70,2),0)</f>
        <v>0</v>
      </c>
    </row>
    <row r="117" spans="48:49" ht="12.75" customHeight="1" x14ac:dyDescent="0.2">
      <c r="AV117" s="141" t="s">
        <v>317</v>
      </c>
      <c r="AW117" s="290">
        <f>IF(($R$41=AV117)*AND($R$42&lt;&gt;""),VLOOKUP($R$42,'Barèmes CALOG'!$AO$40:$AP$70,2),0)</f>
        <v>0</v>
      </c>
    </row>
    <row r="118" spans="48:49" ht="12.75" customHeight="1" x14ac:dyDescent="0.2">
      <c r="AV118" s="141" t="s">
        <v>318</v>
      </c>
      <c r="AW118" s="290">
        <f>IF(($R$41=AV118)*AND($R$42&lt;&gt;""),VLOOKUP($R$42,'Barèmes CALOG'!$AR$40:$AS$70,2),0)</f>
        <v>0</v>
      </c>
    </row>
    <row r="119" spans="48:49" ht="12.75" customHeight="1" x14ac:dyDescent="0.2">
      <c r="AV119" s="141" t="s">
        <v>319</v>
      </c>
      <c r="AW119" s="290">
        <f>IF(($R$41=AV119)*AND($R$42&lt;&gt;""),VLOOKUP($R$42,'Barèmes CALOG'!$AU$40:$AV$70,2),0)</f>
        <v>0</v>
      </c>
    </row>
    <row r="120" spans="48:49" ht="12.75" customHeight="1" x14ac:dyDescent="0.2">
      <c r="AV120" s="141" t="s">
        <v>320</v>
      </c>
      <c r="AW120" s="290">
        <f>IF(($R$41=AV120)*AND($R$42&lt;&gt;""),VLOOKUP($R$42,'Barèmes CALOG'!$AX$40:$AY$70,2),0)</f>
        <v>0</v>
      </c>
    </row>
    <row r="121" spans="48:49" ht="12.75" customHeight="1" x14ac:dyDescent="0.2">
      <c r="AV121" s="141" t="s">
        <v>321</v>
      </c>
      <c r="AW121" s="290">
        <f>IF(($R$41=AV121)*AND($R$42&lt;&gt;""),VLOOKUP($R$42,'Barèmes CALOG'!$BA$40:$BB$70,2),0)</f>
        <v>0</v>
      </c>
    </row>
    <row r="122" spans="48:49" ht="12.75" customHeight="1" x14ac:dyDescent="0.2">
      <c r="AV122" s="141" t="s">
        <v>322</v>
      </c>
      <c r="AW122" s="290">
        <f>IF(($R$41=AV122)*AND($R$42&lt;&gt;""),VLOOKUP($R$42,'Barèmes CALOG'!$BD$40:$BE$70,2),0)</f>
        <v>0</v>
      </c>
    </row>
    <row r="123" spans="48:49" ht="12.75" customHeight="1" x14ac:dyDescent="0.2">
      <c r="AV123" s="141" t="s">
        <v>323</v>
      </c>
      <c r="AW123" s="290">
        <f>IF(($R$41=AV123)*AND($R$42&lt;&gt;""),VLOOKUP($R$42,'Barèmes CALOG'!$BG$40:$BH$70,2),0)</f>
        <v>0</v>
      </c>
    </row>
    <row r="124" spans="48:49" ht="12.75" customHeight="1" x14ac:dyDescent="0.2">
      <c r="AV124" s="141" t="s">
        <v>324</v>
      </c>
      <c r="AW124" s="290">
        <f>IF(($R$41=AV124)*AND($R$42&lt;&gt;""),VLOOKUP($R$42,'Barèmes CALOG'!$BJ$40:$BK$70,2),0)</f>
        <v>0</v>
      </c>
    </row>
    <row r="125" spans="48:49" ht="12.75" customHeight="1" x14ac:dyDescent="0.2">
      <c r="AV125" s="141" t="s">
        <v>325</v>
      </c>
      <c r="AW125" s="290">
        <f>IF(($R$41=AV125)*AND($R$42&lt;&gt;""),VLOOKUP($R$42,'Barèmes CALOG'!$BM$40:$BN$70,2),0)</f>
        <v>0</v>
      </c>
    </row>
    <row r="126" spans="48:49" ht="12.75" customHeight="1" x14ac:dyDescent="0.2">
      <c r="AV126" s="141" t="s">
        <v>326</v>
      </c>
      <c r="AW126" s="290">
        <f>IF(($R$41=AV126)*AND($R$42&lt;&gt;""),VLOOKUP($R$42,'Barèmes CALOG'!$BP$40:$BQ$70,2),0)</f>
        <v>0</v>
      </c>
    </row>
    <row r="127" spans="48:49" ht="12.75" customHeight="1" x14ac:dyDescent="0.2">
      <c r="AV127" s="141" t="s">
        <v>327</v>
      </c>
      <c r="AW127" s="290">
        <f>IF(($R$41=AV127)*AND($R$42&lt;&gt;""),VLOOKUP($R$42,'Barèmes CALOG'!$BS$40:$BT$70,2),0)</f>
        <v>0</v>
      </c>
    </row>
    <row r="128" spans="48:49" ht="12.75" customHeight="1" x14ac:dyDescent="0.2">
      <c r="AV128" s="141" t="s">
        <v>328</v>
      </c>
      <c r="AW128" s="290">
        <f>IF(($R$41=AV128)*AND($R$42&lt;&gt;""),VLOOKUP($R$42,'Barèmes CALOG'!$BV$40:$BW$70,2),0)</f>
        <v>0</v>
      </c>
    </row>
    <row r="129" spans="48:49" ht="12.75" customHeight="1" x14ac:dyDescent="0.2">
      <c r="AV129" s="141" t="s">
        <v>329</v>
      </c>
      <c r="AW129" s="290">
        <f>IF(($R$41=AV129)*AND($R$42&lt;&gt;""),VLOOKUP($R$42,'Barèmes CALOG'!$BY$40:$BZ$70,2),0)</f>
        <v>0</v>
      </c>
    </row>
    <row r="130" spans="48:49" ht="12.75" customHeight="1" x14ac:dyDescent="0.2">
      <c r="AV130" s="141" t="s">
        <v>330</v>
      </c>
      <c r="AW130" s="290">
        <f>IF(($R$41=AV130)*AND($R$42&lt;&gt;""),VLOOKUP($R$42,'Barèmes CALOG'!$CB$40:$CC$70,2),0)</f>
        <v>0</v>
      </c>
    </row>
    <row r="131" spans="48:49" ht="12.75" customHeight="1" x14ac:dyDescent="0.2">
      <c r="AV131" s="141" t="s">
        <v>331</v>
      </c>
      <c r="AW131" s="290">
        <f>IF(($R$41=AV131)*AND($R$42&lt;&gt;""),VLOOKUP($R$42,'Barèmes CALOG'!$CE$40:$CF$70,2),0)</f>
        <v>0</v>
      </c>
    </row>
  </sheetData>
  <sheetProtection password="EC91" sheet="1" objects="1" scenarios="1" selectLockedCells="1"/>
  <mergeCells count="124">
    <mergeCell ref="AB58:AD58"/>
    <mergeCell ref="B53:E53"/>
    <mergeCell ref="F53:G53"/>
    <mergeCell ref="S53:U53"/>
    <mergeCell ref="AB53:AD53"/>
    <mergeCell ref="AB59:AD59"/>
    <mergeCell ref="AG54:AJ54"/>
    <mergeCell ref="S55:U55"/>
    <mergeCell ref="AB55:AD55"/>
    <mergeCell ref="AG55:AJ55"/>
    <mergeCell ref="S56:U56"/>
    <mergeCell ref="S57:U57"/>
    <mergeCell ref="S54:U54"/>
    <mergeCell ref="AB54:AD54"/>
    <mergeCell ref="S52:U52"/>
    <mergeCell ref="AB52:AD52"/>
    <mergeCell ref="AG52:AJ52"/>
    <mergeCell ref="B50:G50"/>
    <mergeCell ref="O50:Q50"/>
    <mergeCell ref="S50:U50"/>
    <mergeCell ref="B51:E51"/>
    <mergeCell ref="S51:U51"/>
    <mergeCell ref="AG51:AJ51"/>
    <mergeCell ref="O51:R51"/>
    <mergeCell ref="B52:E52"/>
    <mergeCell ref="F52:G52"/>
    <mergeCell ref="O52:R52"/>
    <mergeCell ref="O49:Q49"/>
    <mergeCell ref="S49:U49"/>
    <mergeCell ref="AB49:AD49"/>
    <mergeCell ref="AG49:AJ49"/>
    <mergeCell ref="O47:Q47"/>
    <mergeCell ref="S47:U47"/>
    <mergeCell ref="AB48:AD48"/>
    <mergeCell ref="Z48:AA48"/>
    <mergeCell ref="Z49:AA49"/>
    <mergeCell ref="B48:E48"/>
    <mergeCell ref="F48:G48"/>
    <mergeCell ref="O48:Q48"/>
    <mergeCell ref="S48:U48"/>
    <mergeCell ref="AM45:AP45"/>
    <mergeCell ref="AQ45:AR45"/>
    <mergeCell ref="B46:D46"/>
    <mergeCell ref="E46:F46"/>
    <mergeCell ref="G46:H46"/>
    <mergeCell ref="Z46:AA46"/>
    <mergeCell ref="AG48:AJ48"/>
    <mergeCell ref="AB46:AD46"/>
    <mergeCell ref="AG46:AJ46"/>
    <mergeCell ref="AM46:AP46"/>
    <mergeCell ref="AQ46:AR46"/>
    <mergeCell ref="B45:D45"/>
    <mergeCell ref="E45:F45"/>
    <mergeCell ref="G45:H45"/>
    <mergeCell ref="S45:U45"/>
    <mergeCell ref="AB45:AD45"/>
    <mergeCell ref="AG45:AJ45"/>
    <mergeCell ref="B44:D44"/>
    <mergeCell ref="E44:F44"/>
    <mergeCell ref="G44:H44"/>
    <mergeCell ref="S44:U44"/>
    <mergeCell ref="Z44:AA45"/>
    <mergeCell ref="AB44:AD44"/>
    <mergeCell ref="AG44:AJ44"/>
    <mergeCell ref="AM44:AP44"/>
    <mergeCell ref="AQ44:AR44"/>
    <mergeCell ref="B43:D43"/>
    <mergeCell ref="E43:F43"/>
    <mergeCell ref="G43:H43"/>
    <mergeCell ref="S43:U43"/>
    <mergeCell ref="J41:N41"/>
    <mergeCell ref="R41:S41"/>
    <mergeCell ref="AB43:AD43"/>
    <mergeCell ref="AG43:AJ43"/>
    <mergeCell ref="AM43:AQ43"/>
    <mergeCell ref="B42:D42"/>
    <mergeCell ref="E42:F42"/>
    <mergeCell ref="G42:H42"/>
    <mergeCell ref="R42:S42"/>
    <mergeCell ref="T42:V42"/>
    <mergeCell ref="Z42:AA42"/>
    <mergeCell ref="B41:D41"/>
    <mergeCell ref="E41:F41"/>
    <mergeCell ref="G41:H41"/>
    <mergeCell ref="T41:V41"/>
    <mergeCell ref="O7:P7"/>
    <mergeCell ref="AV4:AV7"/>
    <mergeCell ref="AW4:AW7"/>
    <mergeCell ref="AH5:AJ5"/>
    <mergeCell ref="AK5:AN5"/>
    <mergeCell ref="W40:X40"/>
    <mergeCell ref="AF4:AF7"/>
    <mergeCell ref="AS4:AS7"/>
    <mergeCell ref="AO4:AR4"/>
    <mergeCell ref="AT4:AT7"/>
    <mergeCell ref="AU4:AU7"/>
    <mergeCell ref="AG4:AG7"/>
    <mergeCell ref="AE4:AE7"/>
    <mergeCell ref="Z41:AA41"/>
    <mergeCell ref="Z6:Z7"/>
    <mergeCell ref="X6:X7"/>
    <mergeCell ref="AB4:AB7"/>
    <mergeCell ref="AC4:AC7"/>
    <mergeCell ref="AD4:AD7"/>
    <mergeCell ref="J6:K6"/>
    <mergeCell ref="L6:N6"/>
    <mergeCell ref="O6:P6"/>
    <mergeCell ref="Q6:T6"/>
    <mergeCell ref="B6:B7"/>
    <mergeCell ref="C6:C7"/>
    <mergeCell ref="D6:D7"/>
    <mergeCell ref="E6:E7"/>
    <mergeCell ref="F6:G6"/>
    <mergeCell ref="H6:I6"/>
    <mergeCell ref="D2:G2"/>
    <mergeCell ref="I2:L2"/>
    <mergeCell ref="N2:Q2"/>
    <mergeCell ref="R2:S2"/>
    <mergeCell ref="D3:G3"/>
    <mergeCell ref="J3:L3"/>
    <mergeCell ref="N3:Q3"/>
    <mergeCell ref="R3:S3"/>
    <mergeCell ref="D4:G4"/>
    <mergeCell ref="J4:L4"/>
  </mergeCells>
  <conditionalFormatting sqref="B8:AA38">
    <cfRule type="expression" dxfId="19" priority="3" stopIfTrue="1">
      <formula>OR($B8="Sa",$B8="Di",$D8="Jour férié semaine",$D8="Jour de pont")</formula>
    </cfRule>
  </conditionalFormatting>
  <conditionalFormatting sqref="Y8:AA38">
    <cfRule type="expression" dxfId="18" priority="1" stopIfTrue="1">
      <formula>OR($B8="Za",$B8="Zo",$D8="Feestdag week",$D8="Brugdag")</formula>
    </cfRule>
  </conditionalFormatting>
  <dataValidations count="3">
    <dataValidation type="list" allowBlank="1" showInputMessage="1" showErrorMessage="1" sqref="D8:D38" xr:uid="{00000000-0002-0000-0500-000000000000}">
      <formula1>$AX$8:$AX$29</formula1>
    </dataValidation>
    <dataValidation type="list" allowBlank="1" showInputMessage="1" showErrorMessage="1" sqref="E8:E38" xr:uid="{00000000-0002-0000-0500-000001000000}">
      <formula1>"M,E,ME"</formula1>
    </dataValidation>
    <dataValidation type="list" allowBlank="1" showInputMessage="1" showErrorMessage="1" sqref="R2:R3 F48" xr:uid="{00000000-0002-0000-0500-000002000000}">
      <formula1>"Oui,Non"</formula1>
    </dataValidation>
  </dataValidations>
  <pageMargins left="0.7" right="0.7" top="0.75" bottom="0.75" header="0.3" footer="0.3"/>
  <pageSetup paperSize="9" scale="68" fitToWidth="0"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BF131"/>
  <sheetViews>
    <sheetView zoomScaleNormal="100" workbookViewId="0">
      <selection activeCell="D8" sqref="D8"/>
    </sheetView>
  </sheetViews>
  <sheetFormatPr defaultRowHeight="12.75" customHeight="1" x14ac:dyDescent="0.2"/>
  <cols>
    <col min="1" max="1" width="1.42578125" style="17" customWidth="1"/>
    <col min="2" max="2" width="4" style="19" customWidth="1"/>
    <col min="3" max="3" width="6.85546875" style="17" customWidth="1"/>
    <col min="4" max="4" width="17.7109375" style="17" customWidth="1"/>
    <col min="5" max="5" width="4.42578125" style="17" customWidth="1"/>
    <col min="6" max="7" width="5.140625" style="37" customWidth="1"/>
    <col min="8" max="11" width="5.140625" style="17" customWidth="1"/>
    <col min="12" max="12" width="5.7109375" style="19" customWidth="1"/>
    <col min="13" max="13" width="6.28515625" style="19" customWidth="1"/>
    <col min="14" max="14" width="6.140625" style="18" customWidth="1"/>
    <col min="15" max="15" width="2.42578125" style="18" customWidth="1"/>
    <col min="16" max="16" width="6.42578125" style="17" customWidth="1"/>
    <col min="17" max="20" width="2.85546875" style="17" customWidth="1"/>
    <col min="21" max="21" width="5.7109375" style="17" customWidth="1"/>
    <col min="22" max="23" width="7.42578125" style="17" customWidth="1"/>
    <col min="24" max="24" width="7.7109375" style="17" customWidth="1"/>
    <col min="25" max="25" width="5.28515625" style="141" customWidth="1"/>
    <col min="26" max="26" width="6.42578125" style="141" customWidth="1"/>
    <col min="27" max="27" width="7.7109375" style="141" customWidth="1"/>
    <col min="28" max="28" width="7.85546875" style="141" hidden="1" customWidth="1"/>
    <col min="29" max="32" width="12.42578125" style="141" hidden="1" customWidth="1"/>
    <col min="33" max="33" width="8" style="141" hidden="1" customWidth="1"/>
    <col min="34" max="34" width="9.140625" style="141" hidden="1" customWidth="1"/>
    <col min="35" max="45" width="7.7109375" style="141" hidden="1" customWidth="1"/>
    <col min="46" max="48" width="12.140625" style="141" hidden="1" customWidth="1"/>
    <col min="49" max="51" width="9.85546875" style="141" hidden="1" customWidth="1"/>
    <col min="52" max="256" width="11.42578125" style="17" customWidth="1"/>
    <col min="257" max="16384" width="9.140625" style="17"/>
  </cols>
  <sheetData>
    <row r="1" spans="1:58" ht="5.25" customHeight="1" x14ac:dyDescent="0.2"/>
    <row r="2" spans="1:58" ht="12.75" customHeight="1" x14ac:dyDescent="0.2">
      <c r="D2" s="455" t="str">
        <f>CONCATENATE("Utilisateur: ",Configuration!H17)</f>
        <v xml:space="preserve">Utilisateur: </v>
      </c>
      <c r="E2" s="455"/>
      <c r="F2" s="455"/>
      <c r="G2" s="455"/>
      <c r="I2" s="456" t="s">
        <v>174</v>
      </c>
      <c r="J2" s="438"/>
      <c r="K2" s="438"/>
      <c r="L2" s="438"/>
      <c r="M2" s="18"/>
      <c r="N2" s="456" t="s">
        <v>177</v>
      </c>
      <c r="O2" s="438"/>
      <c r="P2" s="438"/>
      <c r="Q2" s="438"/>
      <c r="R2" s="439" t="s">
        <v>179</v>
      </c>
      <c r="S2" s="439"/>
      <c r="T2" s="20"/>
    </row>
    <row r="3" spans="1:58" ht="12.75" customHeight="1" x14ac:dyDescent="0.2">
      <c r="D3" s="440" t="str">
        <f>Configuration!G8</f>
        <v>OTT Tool 2024</v>
      </c>
      <c r="E3" s="440"/>
      <c r="F3" s="440"/>
      <c r="G3" s="440"/>
      <c r="I3" s="26"/>
      <c r="J3" s="438" t="s">
        <v>175</v>
      </c>
      <c r="K3" s="438"/>
      <c r="L3" s="438"/>
      <c r="M3" s="45">
        <f>IF(Mar!$F$48="Oui",Mar!F52,0)</f>
        <v>0</v>
      </c>
      <c r="N3" s="456" t="s">
        <v>178</v>
      </c>
      <c r="O3" s="438"/>
      <c r="P3" s="438"/>
      <c r="Q3" s="438"/>
      <c r="R3" s="439" t="s">
        <v>180</v>
      </c>
      <c r="S3" s="439"/>
      <c r="T3" s="20"/>
    </row>
    <row r="4" spans="1:58" ht="12.75" customHeight="1" x14ac:dyDescent="0.2">
      <c r="D4" s="440" t="s">
        <v>173</v>
      </c>
      <c r="E4" s="440"/>
      <c r="F4" s="440"/>
      <c r="G4" s="440"/>
      <c r="I4" s="20"/>
      <c r="J4" s="438" t="s">
        <v>176</v>
      </c>
      <c r="K4" s="438"/>
      <c r="L4" s="438"/>
      <c r="M4" s="45">
        <f>IF(Mar!$F$48="Oui",Mar!F53,Mar!M4)</f>
        <v>0</v>
      </c>
      <c r="N4" s="21"/>
      <c r="O4" s="19"/>
      <c r="Q4" s="18"/>
      <c r="T4" s="20"/>
      <c r="AB4" s="443" t="s">
        <v>259</v>
      </c>
      <c r="AC4" s="432" t="s">
        <v>160</v>
      </c>
      <c r="AD4" s="432" t="s">
        <v>255</v>
      </c>
      <c r="AE4" s="432" t="s">
        <v>166</v>
      </c>
      <c r="AF4" s="454" t="s">
        <v>168</v>
      </c>
      <c r="AG4" s="429" t="s">
        <v>45</v>
      </c>
      <c r="AJ4" s="121"/>
      <c r="AO4" s="426" t="s">
        <v>48</v>
      </c>
      <c r="AP4" s="427"/>
      <c r="AQ4" s="427"/>
      <c r="AR4" s="428"/>
      <c r="AS4" s="430" t="s">
        <v>52</v>
      </c>
      <c r="AT4" s="431" t="s">
        <v>53</v>
      </c>
      <c r="AU4" s="431" t="s">
        <v>60</v>
      </c>
      <c r="AV4" s="418" t="s">
        <v>62</v>
      </c>
      <c r="AW4" s="432" t="s">
        <v>63</v>
      </c>
    </row>
    <row r="5" spans="1:58" ht="12.75" customHeight="1" x14ac:dyDescent="0.2">
      <c r="B5" s="35"/>
      <c r="AB5" s="443"/>
      <c r="AC5" s="432"/>
      <c r="AD5" s="432"/>
      <c r="AE5" s="432"/>
      <c r="AF5" s="454"/>
      <c r="AG5" s="429"/>
      <c r="AH5" s="426" t="s">
        <v>47</v>
      </c>
      <c r="AI5" s="427"/>
      <c r="AJ5" s="428"/>
      <c r="AK5" s="426" t="s">
        <v>46</v>
      </c>
      <c r="AL5" s="427"/>
      <c r="AM5" s="427"/>
      <c r="AN5" s="428"/>
      <c r="AO5" s="105" t="s">
        <v>49</v>
      </c>
      <c r="AP5" s="94" t="s">
        <v>50</v>
      </c>
      <c r="AQ5" s="94" t="s">
        <v>51</v>
      </c>
      <c r="AR5" s="112" t="s">
        <v>46</v>
      </c>
      <c r="AS5" s="430"/>
      <c r="AT5" s="431"/>
      <c r="AU5" s="431"/>
      <c r="AV5" s="418"/>
      <c r="AW5" s="432"/>
    </row>
    <row r="6" spans="1:58" ht="12.75" customHeight="1" x14ac:dyDescent="0.2">
      <c r="A6" s="34"/>
      <c r="B6" s="419" t="s">
        <v>181</v>
      </c>
      <c r="C6" s="421" t="s">
        <v>182</v>
      </c>
      <c r="D6" s="421" t="s">
        <v>183</v>
      </c>
      <c r="E6" s="423" t="s">
        <v>184</v>
      </c>
      <c r="F6" s="446" t="s">
        <v>111</v>
      </c>
      <c r="G6" s="447"/>
      <c r="H6" s="433" t="s">
        <v>111</v>
      </c>
      <c r="I6" s="434"/>
      <c r="J6" s="433" t="s">
        <v>111</v>
      </c>
      <c r="K6" s="434"/>
      <c r="L6" s="433" t="s">
        <v>185</v>
      </c>
      <c r="M6" s="435"/>
      <c r="N6" s="434"/>
      <c r="O6" s="436" t="s">
        <v>41</v>
      </c>
      <c r="P6" s="437"/>
      <c r="Q6" s="433" t="s">
        <v>189</v>
      </c>
      <c r="R6" s="435"/>
      <c r="S6" s="435"/>
      <c r="T6" s="434"/>
      <c r="U6" s="27" t="s">
        <v>190</v>
      </c>
      <c r="V6" s="27" t="s">
        <v>191</v>
      </c>
      <c r="W6" s="27" t="s">
        <v>191</v>
      </c>
      <c r="X6" s="444" t="s">
        <v>192</v>
      </c>
      <c r="Y6" s="137" t="s">
        <v>195</v>
      </c>
      <c r="Z6" s="421" t="s">
        <v>245</v>
      </c>
      <c r="AA6" s="137" t="s">
        <v>246</v>
      </c>
      <c r="AB6" s="443"/>
      <c r="AC6" s="432"/>
      <c r="AD6" s="432"/>
      <c r="AE6" s="432"/>
      <c r="AF6" s="454"/>
      <c r="AG6" s="429"/>
      <c r="AH6" s="102">
        <v>0.79166666666666663</v>
      </c>
      <c r="AI6" s="100">
        <v>0</v>
      </c>
      <c r="AJ6" s="104">
        <v>0.79166666666666663</v>
      </c>
      <c r="AK6" s="120">
        <v>0.91666666666666663</v>
      </c>
      <c r="AL6" s="100">
        <v>0</v>
      </c>
      <c r="AM6" s="96">
        <v>0.79166666666666663</v>
      </c>
      <c r="AN6" s="104">
        <v>0.91666666666666663</v>
      </c>
      <c r="AO6" s="113">
        <v>0.25</v>
      </c>
      <c r="AP6" s="114">
        <v>0.5</v>
      </c>
      <c r="AQ6" s="114">
        <v>0.75</v>
      </c>
      <c r="AR6" s="115">
        <v>0</v>
      </c>
      <c r="AS6" s="430"/>
      <c r="AT6" s="431"/>
      <c r="AU6" s="431"/>
      <c r="AV6" s="418"/>
      <c r="AW6" s="432"/>
      <c r="AZ6" s="22"/>
      <c r="BA6" s="23"/>
    </row>
    <row r="7" spans="1:58" ht="12.75" customHeight="1" x14ac:dyDescent="0.2">
      <c r="A7" s="34"/>
      <c r="B7" s="420"/>
      <c r="C7" s="422"/>
      <c r="D7" s="422"/>
      <c r="E7" s="424"/>
      <c r="F7" s="38" t="s">
        <v>112</v>
      </c>
      <c r="G7" s="39" t="s">
        <v>113</v>
      </c>
      <c r="H7" s="28" t="s">
        <v>112</v>
      </c>
      <c r="I7" s="139" t="s">
        <v>113</v>
      </c>
      <c r="J7" s="28" t="s">
        <v>112</v>
      </c>
      <c r="K7" s="139" t="s">
        <v>113</v>
      </c>
      <c r="L7" s="28" t="s">
        <v>186</v>
      </c>
      <c r="M7" s="29" t="s">
        <v>187</v>
      </c>
      <c r="N7" s="139" t="s">
        <v>44</v>
      </c>
      <c r="O7" s="441" t="s">
        <v>188</v>
      </c>
      <c r="P7" s="442"/>
      <c r="Q7" s="31" t="s">
        <v>198</v>
      </c>
      <c r="R7" s="32" t="s">
        <v>42</v>
      </c>
      <c r="S7" s="32" t="s">
        <v>199</v>
      </c>
      <c r="T7" s="140" t="s">
        <v>200</v>
      </c>
      <c r="U7" s="30" t="s">
        <v>43</v>
      </c>
      <c r="V7" s="33" t="s">
        <v>193</v>
      </c>
      <c r="W7" s="33" t="s">
        <v>194</v>
      </c>
      <c r="X7" s="445"/>
      <c r="Y7" s="138" t="s">
        <v>196</v>
      </c>
      <c r="Z7" s="422"/>
      <c r="AA7" s="138" t="s">
        <v>247</v>
      </c>
      <c r="AB7" s="443"/>
      <c r="AC7" s="432"/>
      <c r="AD7" s="432"/>
      <c r="AE7" s="432"/>
      <c r="AF7" s="454"/>
      <c r="AG7" s="429"/>
      <c r="AH7" s="102">
        <v>1</v>
      </c>
      <c r="AI7" s="100">
        <v>0.29166666666666669</v>
      </c>
      <c r="AJ7" s="104">
        <v>0.29166666666666669</v>
      </c>
      <c r="AK7" s="102">
        <v>1</v>
      </c>
      <c r="AL7" s="99">
        <v>0.25</v>
      </c>
      <c r="AM7" s="95">
        <v>0.91666666666666663</v>
      </c>
      <c r="AN7" s="103">
        <v>0.25</v>
      </c>
      <c r="AO7" s="106">
        <v>0.33333333333333331</v>
      </c>
      <c r="AP7" s="96">
        <v>0.58333333333333337</v>
      </c>
      <c r="AQ7" s="96">
        <v>0.83333333333333337</v>
      </c>
      <c r="AR7" s="104">
        <v>8.3333333333333329E-2</v>
      </c>
      <c r="AS7" s="430"/>
      <c r="AT7" s="431"/>
      <c r="AU7" s="431"/>
      <c r="AV7" s="418"/>
      <c r="AW7" s="432"/>
      <c r="AZ7" s="22" t="s">
        <v>197</v>
      </c>
      <c r="BA7" s="23"/>
    </row>
    <row r="8" spans="1:58" ht="12.75" customHeight="1" x14ac:dyDescent="0.2">
      <c r="A8" s="34"/>
      <c r="B8" s="59" t="str">
        <f t="shared" ref="B8:B37" si="0">CHOOSE(WEEKDAY(C8),"Di","Lu","Ma","Me","Je","Ve","Sa")</f>
        <v>Lu</v>
      </c>
      <c r="C8" s="60">
        <f>DATE(RIGHT(Configuration!$G$8,4),4,1)</f>
        <v>45383</v>
      </c>
      <c r="D8" s="61" t="s">
        <v>259</v>
      </c>
      <c r="E8" s="62"/>
      <c r="F8" s="63"/>
      <c r="G8" s="64"/>
      <c r="H8" s="63"/>
      <c r="I8" s="64"/>
      <c r="J8" s="63"/>
      <c r="K8" s="64"/>
      <c r="L8" s="40">
        <f t="shared" ref="L8:L37" si="1">(G8-F8)+(I8-H8)+(K8-J8)+SUM(AB8,AC8,AD8,AE8,AF8,AG8)</f>
        <v>0.31666666666666665</v>
      </c>
      <c r="M8" s="65">
        <f>L8+M3+IF(Mar!$F$48="Non",Mar!M38,0)</f>
        <v>0.31666666666666665</v>
      </c>
      <c r="N8" s="66">
        <f>IF(AND(D8&lt;&gt;"Jour libre 4/5",B8&lt;&gt;"Sa",B8&lt;&gt;"Di"),SUM(N7,Configuration!$H$41),SUM(N7))+IF(Mar!F48="Non",Mar!N38,0)</f>
        <v>6.9666666666666632</v>
      </c>
      <c r="O8" s="48" t="str">
        <f>IF(M8-N8-$M$4&gt;=0,"+","-")</f>
        <v>-</v>
      </c>
      <c r="P8" s="67">
        <f>ABS(M8-N8-$M$4)</f>
        <v>6.6499999999999968</v>
      </c>
      <c r="Q8" s="164">
        <f>AO8</f>
        <v>0</v>
      </c>
      <c r="R8" s="165">
        <f>AP8</f>
        <v>0</v>
      </c>
      <c r="S8" s="165">
        <f>AQ8</f>
        <v>0</v>
      </c>
      <c r="T8" s="166">
        <f>AR8</f>
        <v>0</v>
      </c>
      <c r="U8" s="93">
        <f t="shared" ref="U8:U37" si="2">IF(OR(AND(D8="Jour férié semaine",((G8-F8)+(I8-H8)+(K8-J8&gt;0))),B8="Sa",B8="Di"),L8,0)</f>
        <v>0</v>
      </c>
      <c r="V8" s="93">
        <f t="shared" ref="V8:V37" si="3">IF($R$2="Oui",AM8,0)</f>
        <v>0</v>
      </c>
      <c r="W8" s="93">
        <f t="shared" ref="W8:W37" si="4">IF($R$2="Oui",AN8,0)</f>
        <v>0</v>
      </c>
      <c r="X8" s="93">
        <f t="shared" ref="X8:X37" si="5">IF($R$3="Oui",AJ8,0)</f>
        <v>0</v>
      </c>
      <c r="Y8" s="209"/>
      <c r="Z8" s="210"/>
      <c r="AA8" s="210"/>
      <c r="AB8" s="128">
        <f>IF(AND(D8="Jour férié semaine",((G8-F8)+(I8-H8)+(K8-J8)=0)),VLOOKUP(D8,Systeemgegevens!$J:$K,2,FALSE),0)</f>
        <v>0.31666666666666665</v>
      </c>
      <c r="AC8" s="43">
        <f>IF(AND(NOT(ISERROR(FIND("Congé",D8))),ISERROR(FIND("1/2",D8)),ISERROR(FIND("Synd",D8)),ISERROR(FIND("synd",D8)),(G8-F8+I8-H8+K8-J8)=0),VLOOKUP(D8,Systeemgegevens!$J:$K,2,FALSE),IF(AND(NOT(ISERROR(FIND("1/2 Congé + ",D8))),(G8-F8+I8-H8+K8-J8)=0),VLOOKUP(D8,Systeemgegevens!$J:$K,2,FALSE)/2,IF(AND(NOT(ISERROR(FIND("1/2 Congé",D8))),ISERROR(FIND(" + ",D8)),ISERROR(FIND("1/2 Congé Synd.",D8))),VLOOKUP(D8,Systeemgegevens!$J:$K,2,FALSE),0)))</f>
        <v>0</v>
      </c>
      <c r="AD8" s="43">
        <f>IF(AND(OR(D8="1/2 Congé Synd.",D8="Congé Synd."),((G8-F8)+(I8-H8)+(K8-J8)=0)),VLOOKUP(D8,Systeemgegevens!$J:$K,2,FALSE),IF(AND(D8="1/2 Congé + 1/2 synd.",((G8-F8)+(I8-H8)+(K8-J8)=0)),AC8,0))</f>
        <v>0</v>
      </c>
      <c r="AE8" s="43">
        <f>IF(AND(D8="Jour de pont",((G8-F8)+(I8-H8)+(K8-J8)=0)),VLOOKUP(D8,Systeemgegevens!$J:$K,2,FALSE),0)</f>
        <v>0</v>
      </c>
      <c r="AF8" s="43">
        <f>IF(AND(D8="Jour libre 4/5",AND((G8-F8)+(I8-H8)+(K8-J8)=0)),VLOOKUP(D8,Systeemgegevens!$J:$K,2,FALSE),0)</f>
        <v>0</v>
      </c>
      <c r="AG8" s="118">
        <f>IF(AND(D8&lt;&gt;"",SUM(AB8:AF8)=0,D8&lt;&gt;$AB$4,D8&lt;&gt;$AC$4,D8&lt;&gt;$AD$4,D8&lt;&gt;$AE$4,D8&lt;&gt;$AF$4),VLOOKUP(D8,Systeemgegevens!$J:$K,2,FALSE),0)</f>
        <v>0</v>
      </c>
      <c r="AH8" s="119">
        <f t="shared" ref="AH8:AH37" si="6">SUM(IF(AND(G8&gt;$AH$6,F8&lt;=$AH$6),G8-$AH$6,0),IF(F8&gt;$AH$6,G8-F8,0),IF(AND(I8&gt;$AH$6,H8&lt;=$AH$6),I8-$AH$6,0),IF(H8&gt;$AH$6,I8-H8,0),IF(AND(K8&gt;$AH$6,J8&lt;=$AH$6),K8-$AH$6,0),IF(J8&gt;$AH$6,K8-J8,0))</f>
        <v>0</v>
      </c>
      <c r="AI8" s="101">
        <f t="shared" ref="AI8:AI37" si="7">SUM(IF(AND(G8&gt;=$AI$7,F8&lt;$AI$7),$AI$7-F8,0),IF(G8&lt;$AI$7,G8-F8,0),IF(AND(I8&gt;=$AI$7,H8&lt;$AI$7),$AI$7-H8,0),IF(I8&lt;$AI$7,I8-H8,0),IF(AND(K8&gt;=$AI$7,J8&lt;$AI$7),$AI$7-J8,0),IF(K8&lt;$AI$7,K8-J8,0))</f>
        <v>0</v>
      </c>
      <c r="AJ8" s="118">
        <f>SUM(AH8:AI8)</f>
        <v>0</v>
      </c>
      <c r="AK8" s="119">
        <f t="shared" ref="AK8:AK37" si="8">SUM(IF(AND(G8&gt;$AK$6,F8&lt;=$AK$6),G8-$AK$6,0),IF(F8&gt;$AK$6,G8-F8,0),IF(AND(I8&gt;$AK$6,H8&lt;=$AK$6),I8-$AK$6,0),IF(H8&gt;$AK$6,I8-H8,0),IF(AND(K8&gt;$AK$6,J8&lt;=$AK$6),K8-$AK$6,0),IF(J8&gt;$AK$6,K8-J8,0))</f>
        <v>0</v>
      </c>
      <c r="AL8" s="101">
        <f t="shared" ref="AL8:AL37" si="9">SUM(IF(AND(G8&gt;=$AL$7,F8&lt;$AL$7),$AL$7-F8,0),IF(G8&lt;$AL$7,G8-F8,0),IF(AND(I8&gt;=$AL$7,H8&lt;$AL$7),$AL$7-H8,0),IF(I8&lt;$AL$7,I8-H8,0),IF(AND(K8&gt;=$AL$7,J8&lt;$AL$7),$AL$7-J8,0),IF(K8&lt;$AL$7,K8-J8,0))</f>
        <v>0</v>
      </c>
      <c r="AM8" s="43">
        <f>AH8-AK8</f>
        <v>0</v>
      </c>
      <c r="AN8" s="118">
        <f>AK8+AL8</f>
        <v>0</v>
      </c>
      <c r="AO8" s="122">
        <f t="shared" ref="AO8:AO37" si="10">SUM(IF(AND(F8&lt;=$AO$6,G8&gt;=$AO$7),1,0),IF(AND(H8&lt;=$AO$6,I8&gt;=$AO$7),1,0),IF(AND(J8&lt;=$AO$6,K8&gt;=$AO$7),1,0))</f>
        <v>0</v>
      </c>
      <c r="AP8" s="107">
        <f t="shared" ref="AP8:AP37" si="11">SUM(IF(AND(F8&lt;=$AP$6,G8&gt;=$AP$7),1,0),IF(AND(H8&lt;=$AP$6,I8&gt;=$AP$7),1,0),IF(AND(J8&lt;=$AP$6,K8&gt;=$AP$7),1,0))</f>
        <v>0</v>
      </c>
      <c r="AQ8" s="107">
        <f t="shared" ref="AQ8:AQ37" si="12">SUM(IF(AND(F8&lt;=$AQ$6,G8&gt;=$AQ$7),1,0),IF(AND(H8&lt;=$AQ$6,I8&gt;=$AQ$7),1,0),IF(AND(J8&lt;=$AQ$6,K8&gt;=$AQ$7),1,0))</f>
        <v>0</v>
      </c>
      <c r="AR8" s="123">
        <f t="shared" ref="AR8:AR37" si="13">SUM(IF(AND(F8&lt;=$AR$6,G8&gt;=$AR$7),1,0),IF(AND(H8&lt;=$AR$6,I8&gt;=$AR$7),1,0),IF(AND(J8&lt;=$AR$6,K8&gt;=$AR$7),1,0))</f>
        <v>0</v>
      </c>
      <c r="AS8" s="124">
        <f t="shared" ref="AS8:AS37" si="14">IF(OR(E8="M",E8="ME"),1,0)</f>
        <v>0</v>
      </c>
      <c r="AT8" s="124">
        <f t="shared" ref="AT8:AT37" si="15">IF(OR(E8="E",E8="ME"),1,0)</f>
        <v>0</v>
      </c>
      <c r="AU8" s="124">
        <f t="shared" ref="AU8:AU37" si="16">IF(AND(OR(D8="Jour férié semaine",D8="Jour de pont"),((G8-F8)+(I8-H8)+(K8-J8)&gt;0)),1,0)</f>
        <v>0</v>
      </c>
      <c r="AV8" s="117" t="s">
        <v>36</v>
      </c>
      <c r="AW8" s="129">
        <f>IF(($R$40=AV8)*AND($R$41&lt;&gt;""),VLOOKUP($R$41,'Barèmes police'!$B$4:$C$30,2),0)</f>
        <v>14703.88</v>
      </c>
      <c r="AX8" s="15"/>
      <c r="AY8" s="14"/>
      <c r="AZ8" s="269"/>
      <c r="BA8" s="154"/>
      <c r="BB8" s="154"/>
      <c r="BC8" s="154"/>
      <c r="BD8" s="154"/>
      <c r="BE8" s="154"/>
      <c r="BF8" s="154"/>
    </row>
    <row r="9" spans="1:58" ht="12.75" customHeight="1" x14ac:dyDescent="0.2">
      <c r="A9" s="34"/>
      <c r="B9" s="24" t="str">
        <f t="shared" si="0"/>
        <v>Ma</v>
      </c>
      <c r="C9" s="25">
        <f>C8+1</f>
        <v>45384</v>
      </c>
      <c r="D9" s="51"/>
      <c r="E9" s="116"/>
      <c r="F9" s="52"/>
      <c r="G9" s="53"/>
      <c r="H9" s="52"/>
      <c r="I9" s="53"/>
      <c r="J9" s="54"/>
      <c r="K9" s="55"/>
      <c r="L9" s="40">
        <f t="shared" si="1"/>
        <v>0</v>
      </c>
      <c r="M9" s="41">
        <f>M8+L9</f>
        <v>0.31666666666666665</v>
      </c>
      <c r="N9" s="42">
        <f>IF(AND(D9&lt;&gt;"Jour libre 4/5",B9&lt;&gt;"Sa",B9&lt;&gt;"Di"),SUM(N8,Configuration!$H$41),SUM(N8))</f>
        <v>7.2833333333333297</v>
      </c>
      <c r="O9" s="49" t="str">
        <f>IF(M9-N9-$M$4&gt;=0,"+","-")</f>
        <v>-</v>
      </c>
      <c r="P9" s="143">
        <f t="shared" ref="P9:P37" si="17">ABS(M9-N9-$M$4)</f>
        <v>6.9666666666666632</v>
      </c>
      <c r="Q9" s="167">
        <f t="shared" ref="Q9:T37" si="18">AO9</f>
        <v>0</v>
      </c>
      <c r="R9" s="168">
        <f t="shared" si="18"/>
        <v>0</v>
      </c>
      <c r="S9" s="168">
        <f t="shared" si="18"/>
        <v>0</v>
      </c>
      <c r="T9" s="169">
        <f t="shared" si="18"/>
        <v>0</v>
      </c>
      <c r="U9" s="97">
        <f t="shared" si="2"/>
        <v>0</v>
      </c>
      <c r="V9" s="97">
        <f t="shared" si="3"/>
        <v>0</v>
      </c>
      <c r="W9" s="97">
        <f t="shared" si="4"/>
        <v>0</v>
      </c>
      <c r="X9" s="97">
        <f t="shared" si="5"/>
        <v>0</v>
      </c>
      <c r="Y9" s="209"/>
      <c r="Z9" s="210"/>
      <c r="AA9" s="210"/>
      <c r="AB9" s="128">
        <f>IF(AND(D9="Jour férié semaine",((G9-F9)+(I9-H9)+(K9-J9)=0)),VLOOKUP(D9,Systeemgegevens!$J:$K,2,FALSE),0)</f>
        <v>0</v>
      </c>
      <c r="AC9" s="43">
        <f>IF(AND(NOT(ISERROR(FIND("Congé",D9))),ISERROR(FIND("1/2",D9)),ISERROR(FIND("Synd",D9)),ISERROR(FIND("synd",D9)),(G9-F9+I9-H9+K9-J9)=0),VLOOKUP(D9,Systeemgegevens!$J:$K,2,FALSE),IF(AND(NOT(ISERROR(FIND("1/2 Congé + ",D9))),(G9-F9+I9-H9+K9-J9)=0),VLOOKUP(D9,Systeemgegevens!$J:$K,2,FALSE)/2,IF(AND(NOT(ISERROR(FIND("1/2 Congé",D9))),ISERROR(FIND(" + ",D9)),ISERROR(FIND("1/2 Congé Synd.",D9))),VLOOKUP(D9,Systeemgegevens!$J:$K,2,FALSE),0)))</f>
        <v>0</v>
      </c>
      <c r="AD9" s="43">
        <f>IF(AND(OR(D9="1/2 Congé Synd.",D9="Congé Synd."),((G9-F9)+(I9-H9)+(K9-J9)=0)),VLOOKUP(D9,Systeemgegevens!$J:$K,2,FALSE),IF(AND(D9="1/2 Congé + 1/2 synd.",((G9-F9)+(I9-H9)+(K9-J9)=0)),AC9,0))</f>
        <v>0</v>
      </c>
      <c r="AE9" s="43">
        <f>IF(AND(D9="Jour de pont",((G9-F9)+(I9-H9)+(K9-J9)=0)),VLOOKUP(D9,Systeemgegevens!$J:$K,2,FALSE),0)</f>
        <v>0</v>
      </c>
      <c r="AF9" s="43">
        <f>IF(AND(D9="Jour libre 4/5",AND((G9-F9)+(I9-H9)+(K9-J9)=0)),VLOOKUP(D9,Systeemgegevens!$J:$K,2,FALSE),0)</f>
        <v>0</v>
      </c>
      <c r="AG9" s="118">
        <f>IF(AND(D9&lt;&gt;"",SUM(AB9:AF9)=0,D9&lt;&gt;$AB$4,D9&lt;&gt;$AC$4,D9&lt;&gt;$AE$4,D9&lt;&gt;$AF$4),VLOOKUP(D9,Systeemgegevens!$J:$K,2,FALSE),0)</f>
        <v>0</v>
      </c>
      <c r="AH9" s="119">
        <f t="shared" si="6"/>
        <v>0</v>
      </c>
      <c r="AI9" s="101">
        <f t="shared" si="7"/>
        <v>0</v>
      </c>
      <c r="AJ9" s="118">
        <f t="shared" ref="AJ9:AJ37" si="19">SUM(AH9:AI9)</f>
        <v>0</v>
      </c>
      <c r="AK9" s="119">
        <f t="shared" si="8"/>
        <v>0</v>
      </c>
      <c r="AL9" s="101">
        <f t="shared" si="9"/>
        <v>0</v>
      </c>
      <c r="AM9" s="43">
        <f t="shared" ref="AM9:AM37" si="20">AH9-AK9</f>
        <v>0</v>
      </c>
      <c r="AN9" s="118">
        <f t="shared" ref="AN9:AN37" si="21">AK9+AL9</f>
        <v>0</v>
      </c>
      <c r="AO9" s="122">
        <f t="shared" si="10"/>
        <v>0</v>
      </c>
      <c r="AP9" s="107">
        <f t="shared" si="11"/>
        <v>0</v>
      </c>
      <c r="AQ9" s="107">
        <f t="shared" si="12"/>
        <v>0</v>
      </c>
      <c r="AR9" s="123">
        <f t="shared" si="13"/>
        <v>0</v>
      </c>
      <c r="AS9" s="124">
        <f t="shared" si="14"/>
        <v>0</v>
      </c>
      <c r="AT9" s="124">
        <f t="shared" si="15"/>
        <v>0</v>
      </c>
      <c r="AU9" s="124">
        <f t="shared" si="16"/>
        <v>0</v>
      </c>
      <c r="AV9" s="117" t="s">
        <v>35</v>
      </c>
      <c r="AW9" s="129">
        <f>IF(($R$40=AV9)*AND($R$41&lt;&gt;""),VLOOKUP($R$41,'Barèmes police'!$E$4:$F$30,2),0)</f>
        <v>0</v>
      </c>
      <c r="AX9" s="16" t="str">
        <f>IF('Types de jours'!F15&lt;&gt;"",'Types de jours'!F15,"")</f>
        <v>Congé</v>
      </c>
      <c r="AY9" s="144">
        <f>IF(AX9&lt;&gt;"",'Types de jours'!I15,"")</f>
        <v>0.31666666666666665</v>
      </c>
      <c r="AZ9" s="269"/>
      <c r="BA9" s="154"/>
      <c r="BB9" s="154"/>
      <c r="BC9" s="154"/>
      <c r="BD9" s="154"/>
      <c r="BE9" s="154"/>
      <c r="BF9" s="154"/>
    </row>
    <row r="10" spans="1:58" ht="12.75" customHeight="1" x14ac:dyDescent="0.2">
      <c r="A10" s="34"/>
      <c r="B10" s="24" t="str">
        <f t="shared" si="0"/>
        <v>Me</v>
      </c>
      <c r="C10" s="25">
        <f t="shared" ref="C10:C37" si="22">C9+1</f>
        <v>45385</v>
      </c>
      <c r="D10" s="51"/>
      <c r="E10" s="116"/>
      <c r="F10" s="52"/>
      <c r="G10" s="53"/>
      <c r="H10" s="52"/>
      <c r="I10" s="53"/>
      <c r="J10" s="54"/>
      <c r="K10" s="55"/>
      <c r="L10" s="40">
        <f t="shared" si="1"/>
        <v>0</v>
      </c>
      <c r="M10" s="41">
        <f t="shared" ref="M10:M37" si="23">M9+L10</f>
        <v>0.31666666666666665</v>
      </c>
      <c r="N10" s="42">
        <f>IF(AND(D10&lt;&gt;"Jour libre 4/5",B10&lt;&gt;"Sa",B10&lt;&gt;"Di"),SUM(N9,Configuration!$H$41),SUM(N9))</f>
        <v>7.5999999999999961</v>
      </c>
      <c r="O10" s="49" t="str">
        <f t="shared" ref="O10:O37" si="24">IF(M10-N10-$M$4&gt;=0,"+","-")</f>
        <v>-</v>
      </c>
      <c r="P10" s="143">
        <f t="shared" si="17"/>
        <v>7.2833333333333297</v>
      </c>
      <c r="Q10" s="167">
        <f t="shared" si="18"/>
        <v>0</v>
      </c>
      <c r="R10" s="168">
        <f t="shared" si="18"/>
        <v>0</v>
      </c>
      <c r="S10" s="168">
        <f t="shared" si="18"/>
        <v>0</v>
      </c>
      <c r="T10" s="169">
        <f t="shared" si="18"/>
        <v>0</v>
      </c>
      <c r="U10" s="97">
        <f t="shared" si="2"/>
        <v>0</v>
      </c>
      <c r="V10" s="97">
        <f t="shared" si="3"/>
        <v>0</v>
      </c>
      <c r="W10" s="97">
        <f t="shared" si="4"/>
        <v>0</v>
      </c>
      <c r="X10" s="97">
        <f t="shared" si="5"/>
        <v>0</v>
      </c>
      <c r="Y10" s="209"/>
      <c r="Z10" s="210"/>
      <c r="AA10" s="210"/>
      <c r="AB10" s="128">
        <f>IF(AND(D10="Jour férié semaine",((G10-F10)+(I10-H10)+(K10-J10)=0)),VLOOKUP(D10,Systeemgegevens!$J:$K,2,FALSE),0)</f>
        <v>0</v>
      </c>
      <c r="AC10" s="43">
        <f>IF(AND(NOT(ISERROR(FIND("Congé",D10))),ISERROR(FIND("1/2",D10)),ISERROR(FIND("Synd",D10)),ISERROR(FIND("synd",D10)),(G10-F10+I10-H10+K10-J10)=0),VLOOKUP(D10,Systeemgegevens!$J:$K,2,FALSE),IF(AND(NOT(ISERROR(FIND("1/2 Congé + ",D10))),(G10-F10+I10-H10+K10-J10)=0),VLOOKUP(D10,Systeemgegevens!$J:$K,2,FALSE)/2,IF(AND(NOT(ISERROR(FIND("1/2 Congé",D10))),ISERROR(FIND(" + ",D10)),ISERROR(FIND("1/2 Congé Synd.",D10))),VLOOKUP(D10,Systeemgegevens!$J:$K,2,FALSE),0)))</f>
        <v>0</v>
      </c>
      <c r="AD10" s="43">
        <f>IF(AND(OR(D10="1/2 Congé Synd.",D10="Congé Synd."),((G10-F10)+(I10-H10)+(K10-J10)=0)),VLOOKUP(D10,Systeemgegevens!$J:$K,2,FALSE),IF(AND(D10="1/2 Congé + 1/2 synd.",((G10-F10)+(I10-H10)+(K10-J10)=0)),AC10,0))</f>
        <v>0</v>
      </c>
      <c r="AE10" s="43">
        <f>IF(AND(D10="Jour de pont",((G10-F10)+(I10-H10)+(K10-J10)=0)),VLOOKUP(D10,Systeemgegevens!$J:$K,2,FALSE),0)</f>
        <v>0</v>
      </c>
      <c r="AF10" s="43">
        <f>IF(AND(D10="Jour libre 4/5",AND((G10-F10)+(I10-H10)+(K10-J10)=0)),VLOOKUP(D10,Systeemgegevens!$J:$K,2,FALSE),0)</f>
        <v>0</v>
      </c>
      <c r="AG10" s="118">
        <f>IF(AND(D10&lt;&gt;"",SUM(AB10:AF10)=0,D10&lt;&gt;$AB$4,D10&lt;&gt;$AC$4,D10&lt;&gt;$AE$4,D10&lt;&gt;$AF$4),VLOOKUP(D10,Systeemgegevens!$J:$K,2,FALSE),0)</f>
        <v>0</v>
      </c>
      <c r="AH10" s="119">
        <f t="shared" si="6"/>
        <v>0</v>
      </c>
      <c r="AI10" s="101">
        <f t="shared" si="7"/>
        <v>0</v>
      </c>
      <c r="AJ10" s="118">
        <f t="shared" si="19"/>
        <v>0</v>
      </c>
      <c r="AK10" s="119">
        <f t="shared" si="8"/>
        <v>0</v>
      </c>
      <c r="AL10" s="101">
        <f t="shared" si="9"/>
        <v>0</v>
      </c>
      <c r="AM10" s="43">
        <f t="shared" si="20"/>
        <v>0</v>
      </c>
      <c r="AN10" s="118">
        <f t="shared" si="21"/>
        <v>0</v>
      </c>
      <c r="AO10" s="122">
        <f t="shared" si="10"/>
        <v>0</v>
      </c>
      <c r="AP10" s="107">
        <f t="shared" si="11"/>
        <v>0</v>
      </c>
      <c r="AQ10" s="107">
        <f t="shared" si="12"/>
        <v>0</v>
      </c>
      <c r="AR10" s="123">
        <f t="shared" si="13"/>
        <v>0</v>
      </c>
      <c r="AS10" s="124">
        <f t="shared" si="14"/>
        <v>0</v>
      </c>
      <c r="AT10" s="124">
        <f t="shared" si="15"/>
        <v>0</v>
      </c>
      <c r="AU10" s="124">
        <f t="shared" si="16"/>
        <v>0</v>
      </c>
      <c r="AV10" s="117" t="s">
        <v>34</v>
      </c>
      <c r="AW10" s="129">
        <f>IF(($R$40=AV10)*AND($R$41&lt;&gt;""),VLOOKUP($R$41,'Barèmes police'!$H$4:$I$30,2),0)</f>
        <v>0</v>
      </c>
      <c r="AX10" s="16" t="str">
        <f>IF('Types de jours'!F16&lt;&gt;"",'Types de jours'!F16,"")</f>
        <v>1/2 Congé</v>
      </c>
      <c r="AY10" s="144">
        <f>IF(AX10&lt;&gt;"",'Types de jours'!I16,"")</f>
        <v>0.15833333333333333</v>
      </c>
      <c r="AZ10" s="269"/>
      <c r="BA10" s="154"/>
      <c r="BB10" s="154"/>
      <c r="BC10" s="154"/>
      <c r="BD10" s="154"/>
      <c r="BE10" s="154"/>
      <c r="BF10" s="154"/>
    </row>
    <row r="11" spans="1:58" ht="12.75" customHeight="1" x14ac:dyDescent="0.2">
      <c r="A11" s="34"/>
      <c r="B11" s="24" t="str">
        <f t="shared" si="0"/>
        <v>Je</v>
      </c>
      <c r="C11" s="25">
        <f t="shared" si="22"/>
        <v>45386</v>
      </c>
      <c r="D11" s="51"/>
      <c r="E11" s="116"/>
      <c r="F11" s="52"/>
      <c r="G11" s="53"/>
      <c r="H11" s="52"/>
      <c r="I11" s="53"/>
      <c r="J11" s="54"/>
      <c r="K11" s="55"/>
      <c r="L11" s="40">
        <f t="shared" si="1"/>
        <v>0</v>
      </c>
      <c r="M11" s="41">
        <f t="shared" si="23"/>
        <v>0.31666666666666665</v>
      </c>
      <c r="N11" s="42">
        <f>IF(AND(D11&lt;&gt;"Jour libre 4/5",B11&lt;&gt;"Sa",B11&lt;&gt;"Di"),SUM(N10,Configuration!$H$41),SUM(N10))</f>
        <v>7.9166666666666625</v>
      </c>
      <c r="O11" s="49" t="str">
        <f t="shared" si="24"/>
        <v>-</v>
      </c>
      <c r="P11" s="143">
        <f t="shared" si="17"/>
        <v>7.5999999999999961</v>
      </c>
      <c r="Q11" s="167">
        <f t="shared" si="18"/>
        <v>0</v>
      </c>
      <c r="R11" s="168">
        <f t="shared" si="18"/>
        <v>0</v>
      </c>
      <c r="S11" s="168">
        <f t="shared" si="18"/>
        <v>0</v>
      </c>
      <c r="T11" s="169">
        <f t="shared" si="18"/>
        <v>0</v>
      </c>
      <c r="U11" s="97">
        <f t="shared" si="2"/>
        <v>0</v>
      </c>
      <c r="V11" s="97">
        <f t="shared" si="3"/>
        <v>0</v>
      </c>
      <c r="W11" s="97">
        <f t="shared" si="4"/>
        <v>0</v>
      </c>
      <c r="X11" s="97">
        <f t="shared" si="5"/>
        <v>0</v>
      </c>
      <c r="Y11" s="209"/>
      <c r="Z11" s="210"/>
      <c r="AA11" s="210"/>
      <c r="AB11" s="128">
        <f>IF(AND(D11="Jour férié semaine",((G11-F11)+(I11-H11)+(K11-J11)=0)),VLOOKUP(D11,Systeemgegevens!$J:$K,2,FALSE),0)</f>
        <v>0</v>
      </c>
      <c r="AC11" s="43">
        <f>IF(AND(NOT(ISERROR(FIND("Congé",D11))),ISERROR(FIND("1/2",D11)),ISERROR(FIND("Synd",D11)),ISERROR(FIND("synd",D11)),(G11-F11+I11-H11+K11-J11)=0),VLOOKUP(D11,Systeemgegevens!$J:$K,2,FALSE),IF(AND(NOT(ISERROR(FIND("1/2 Congé + ",D11))),(G11-F11+I11-H11+K11-J11)=0),VLOOKUP(D11,Systeemgegevens!$J:$K,2,FALSE)/2,IF(AND(NOT(ISERROR(FIND("1/2 Congé",D11))),ISERROR(FIND(" + ",D11)),ISERROR(FIND("1/2 Congé Synd.",D11))),VLOOKUP(D11,Systeemgegevens!$J:$K,2,FALSE),0)))</f>
        <v>0</v>
      </c>
      <c r="AD11" s="43">
        <f>IF(AND(OR(D11="1/2 Congé Synd.",D11="Congé Synd."),((G11-F11)+(I11-H11)+(K11-J11)=0)),VLOOKUP(D11,Systeemgegevens!$J:$K,2,FALSE),IF(AND(D11="1/2 Congé + 1/2 synd.",((G11-F11)+(I11-H11)+(K11-J11)=0)),AC11,0))</f>
        <v>0</v>
      </c>
      <c r="AE11" s="43">
        <f>IF(AND(D11="Jour de pont",((G11-F11)+(I11-H11)+(K11-J11)=0)),VLOOKUP(D11,Systeemgegevens!$J:$K,2,FALSE),0)</f>
        <v>0</v>
      </c>
      <c r="AF11" s="43">
        <f>IF(AND(D11="Jour libre 4/5",AND((G11-F11)+(I11-H11)+(K11-J11)=0)),VLOOKUP(D11,Systeemgegevens!$J:$K,2,FALSE),0)</f>
        <v>0</v>
      </c>
      <c r="AG11" s="118">
        <f>IF(AND(D11&lt;&gt;"",SUM(AB11:AF11)=0,D11&lt;&gt;$AB$4,D11&lt;&gt;$AC$4,D11&lt;&gt;$AE$4,D11&lt;&gt;$AF$4),VLOOKUP(D11,Systeemgegevens!$J:$K,2,FALSE),0)</f>
        <v>0</v>
      </c>
      <c r="AH11" s="119">
        <f t="shared" si="6"/>
        <v>0</v>
      </c>
      <c r="AI11" s="101">
        <f t="shared" si="7"/>
        <v>0</v>
      </c>
      <c r="AJ11" s="118">
        <f t="shared" si="19"/>
        <v>0</v>
      </c>
      <c r="AK11" s="119">
        <f t="shared" si="8"/>
        <v>0</v>
      </c>
      <c r="AL11" s="101">
        <f t="shared" si="9"/>
        <v>0</v>
      </c>
      <c r="AM11" s="43">
        <f t="shared" si="20"/>
        <v>0</v>
      </c>
      <c r="AN11" s="118">
        <f t="shared" si="21"/>
        <v>0</v>
      </c>
      <c r="AO11" s="122">
        <f t="shared" si="10"/>
        <v>0</v>
      </c>
      <c r="AP11" s="107">
        <f t="shared" si="11"/>
        <v>0</v>
      </c>
      <c r="AQ11" s="107">
        <f t="shared" si="12"/>
        <v>0</v>
      </c>
      <c r="AR11" s="123">
        <f t="shared" si="13"/>
        <v>0</v>
      </c>
      <c r="AS11" s="124">
        <f t="shared" si="14"/>
        <v>0</v>
      </c>
      <c r="AT11" s="124">
        <f t="shared" si="15"/>
        <v>0</v>
      </c>
      <c r="AU11" s="124">
        <f t="shared" si="16"/>
        <v>0</v>
      </c>
      <c r="AV11" s="117" t="s">
        <v>268</v>
      </c>
      <c r="AW11" s="129">
        <f>IF(($R$40=AV11)*AND($R$41&lt;&gt;""),VLOOKUP($R$41,'Barèmes police'!$K$4:$L$30,2),0)</f>
        <v>0</v>
      </c>
      <c r="AX11" s="16" t="str">
        <f>IF('Types de jours'!F17&lt;&gt;"",'Types de jours'!F17,"")</f>
        <v>Malade</v>
      </c>
      <c r="AY11" s="144">
        <f>IF(AX11&lt;&gt;"",'Types de jours'!I17,"")</f>
        <v>0.31666666666666665</v>
      </c>
      <c r="AZ11" s="269"/>
      <c r="BA11" s="154"/>
      <c r="BB11" s="154"/>
      <c r="BC11" s="154"/>
      <c r="BD11" s="154"/>
      <c r="BE11" s="154"/>
      <c r="BF11" s="154"/>
    </row>
    <row r="12" spans="1:58" ht="12.75" customHeight="1" x14ac:dyDescent="0.2">
      <c r="A12" s="34"/>
      <c r="B12" s="24" t="str">
        <f t="shared" si="0"/>
        <v>Ve</v>
      </c>
      <c r="C12" s="25">
        <f t="shared" si="22"/>
        <v>45387</v>
      </c>
      <c r="D12" s="51"/>
      <c r="E12" s="116"/>
      <c r="F12" s="52"/>
      <c r="G12" s="53"/>
      <c r="H12" s="52"/>
      <c r="I12" s="53"/>
      <c r="J12" s="54"/>
      <c r="K12" s="55"/>
      <c r="L12" s="40">
        <f t="shared" si="1"/>
        <v>0</v>
      </c>
      <c r="M12" s="41">
        <f t="shared" si="23"/>
        <v>0.31666666666666665</v>
      </c>
      <c r="N12" s="42">
        <f>IF(AND(D12&lt;&gt;"Jour libre 4/5",B12&lt;&gt;"Sa",B12&lt;&gt;"Di"),SUM(N11,Configuration!$H$41),SUM(N11))</f>
        <v>8.233333333333329</v>
      </c>
      <c r="O12" s="49" t="str">
        <f t="shared" si="24"/>
        <v>-</v>
      </c>
      <c r="P12" s="143">
        <f t="shared" si="17"/>
        <v>7.9166666666666625</v>
      </c>
      <c r="Q12" s="167">
        <f t="shared" si="18"/>
        <v>0</v>
      </c>
      <c r="R12" s="168">
        <f t="shared" si="18"/>
        <v>0</v>
      </c>
      <c r="S12" s="168">
        <f t="shared" si="18"/>
        <v>0</v>
      </c>
      <c r="T12" s="169">
        <f t="shared" si="18"/>
        <v>0</v>
      </c>
      <c r="U12" s="97">
        <f t="shared" si="2"/>
        <v>0</v>
      </c>
      <c r="V12" s="97">
        <f t="shared" si="3"/>
        <v>0</v>
      </c>
      <c r="W12" s="97">
        <f t="shared" si="4"/>
        <v>0</v>
      </c>
      <c r="X12" s="97">
        <f t="shared" si="5"/>
        <v>0</v>
      </c>
      <c r="Y12" s="209"/>
      <c r="Z12" s="210"/>
      <c r="AA12" s="210"/>
      <c r="AB12" s="128">
        <f>IF(AND(D12="Jour férié semaine",((G12-F12)+(I12-H12)+(K12-J12)=0)),VLOOKUP(D12,Systeemgegevens!$J:$K,2,FALSE),0)</f>
        <v>0</v>
      </c>
      <c r="AC12" s="43">
        <f>IF(AND(NOT(ISERROR(FIND("Congé",D12))),ISERROR(FIND("1/2",D12)),ISERROR(FIND("Synd",D12)),ISERROR(FIND("synd",D12)),(G12-F12+I12-H12+K12-J12)=0),VLOOKUP(D12,Systeemgegevens!$J:$K,2,FALSE),IF(AND(NOT(ISERROR(FIND("1/2 Congé + ",D12))),(G12-F12+I12-H12+K12-J12)=0),VLOOKUP(D12,Systeemgegevens!$J:$K,2,FALSE)/2,IF(AND(NOT(ISERROR(FIND("1/2 Congé",D12))),ISERROR(FIND(" + ",D12)),ISERROR(FIND("1/2 Congé Synd.",D12))),VLOOKUP(D12,Systeemgegevens!$J:$K,2,FALSE),0)))</f>
        <v>0</v>
      </c>
      <c r="AD12" s="43">
        <f>IF(AND(OR(D12="1/2 Congé Synd.",D12="Congé Synd."),((G12-F12)+(I12-H12)+(K12-J12)=0)),VLOOKUP(D12,Systeemgegevens!$J:$K,2,FALSE),IF(AND(D12="1/2 Congé + 1/2 synd.",((G12-F12)+(I12-H12)+(K12-J12)=0)),AC12,0))</f>
        <v>0</v>
      </c>
      <c r="AE12" s="43">
        <f>IF(AND(D12="Jour de pont",((G12-F12)+(I12-H12)+(K12-J12)=0)),VLOOKUP(D12,Systeemgegevens!$J:$K,2,FALSE),0)</f>
        <v>0</v>
      </c>
      <c r="AF12" s="43">
        <f>IF(AND(D12="Jour libre 4/5",AND((G12-F12)+(I12-H12)+(K12-J12)=0)),VLOOKUP(D12,Systeemgegevens!$J:$K,2,FALSE),0)</f>
        <v>0</v>
      </c>
      <c r="AG12" s="118">
        <f>IF(AND(D12&lt;&gt;"",SUM(AB12:AF12)=0,D12&lt;&gt;$AB$4,D12&lt;&gt;$AC$4,D12&lt;&gt;$AE$4,D12&lt;&gt;$AF$4),VLOOKUP(D12,Systeemgegevens!$J:$K,2,FALSE),0)</f>
        <v>0</v>
      </c>
      <c r="AH12" s="119">
        <f t="shared" si="6"/>
        <v>0</v>
      </c>
      <c r="AI12" s="101">
        <f t="shared" si="7"/>
        <v>0</v>
      </c>
      <c r="AJ12" s="118">
        <f t="shared" si="19"/>
        <v>0</v>
      </c>
      <c r="AK12" s="119">
        <f t="shared" si="8"/>
        <v>0</v>
      </c>
      <c r="AL12" s="101">
        <f t="shared" si="9"/>
        <v>0</v>
      </c>
      <c r="AM12" s="43">
        <f t="shared" si="20"/>
        <v>0</v>
      </c>
      <c r="AN12" s="118">
        <f t="shared" si="21"/>
        <v>0</v>
      </c>
      <c r="AO12" s="122">
        <f t="shared" si="10"/>
        <v>0</v>
      </c>
      <c r="AP12" s="107">
        <f t="shared" si="11"/>
        <v>0</v>
      </c>
      <c r="AQ12" s="107">
        <f t="shared" si="12"/>
        <v>0</v>
      </c>
      <c r="AR12" s="123">
        <f t="shared" si="13"/>
        <v>0</v>
      </c>
      <c r="AS12" s="124">
        <f t="shared" si="14"/>
        <v>0</v>
      </c>
      <c r="AT12" s="124">
        <f t="shared" si="15"/>
        <v>0</v>
      </c>
      <c r="AU12" s="124">
        <f t="shared" si="16"/>
        <v>0</v>
      </c>
      <c r="AV12" s="117" t="s">
        <v>33</v>
      </c>
      <c r="AW12" s="129">
        <f>IF(($R$40=AV12)*AND($R$41&lt;&gt;""),VLOOKUP($R$41,'Barèmes police'!$N$4:$O$30,2),0)</f>
        <v>0</v>
      </c>
      <c r="AX12" s="16" t="str">
        <f>IF('Types de jours'!F18&lt;&gt;"",'Types de jours'!F18,"")</f>
        <v>Acc. de travail</v>
      </c>
      <c r="AY12" s="144">
        <f>IF(AX12&lt;&gt;"",'Types de jours'!I18,"")</f>
        <v>0.31666666666666665</v>
      </c>
      <c r="AZ12" s="269"/>
      <c r="BA12" s="154"/>
      <c r="BB12" s="154"/>
      <c r="BC12" s="154"/>
      <c r="BD12" s="154"/>
      <c r="BE12" s="154"/>
      <c r="BF12" s="154"/>
    </row>
    <row r="13" spans="1:58" ht="12.75" customHeight="1" x14ac:dyDescent="0.2">
      <c r="A13" s="34"/>
      <c r="B13" s="24" t="str">
        <f t="shared" si="0"/>
        <v>Sa</v>
      </c>
      <c r="C13" s="25">
        <f t="shared" si="22"/>
        <v>45388</v>
      </c>
      <c r="D13" s="51"/>
      <c r="E13" s="116"/>
      <c r="F13" s="52"/>
      <c r="G13" s="53"/>
      <c r="H13" s="52"/>
      <c r="I13" s="53"/>
      <c r="J13" s="54"/>
      <c r="K13" s="55"/>
      <c r="L13" s="40">
        <f t="shared" si="1"/>
        <v>0</v>
      </c>
      <c r="M13" s="41">
        <f t="shared" si="23"/>
        <v>0.31666666666666665</v>
      </c>
      <c r="N13" s="42">
        <f>IF(AND(D13&lt;&gt;"Jour libre 4/5",B13&lt;&gt;"Sa",B13&lt;&gt;"Di"),SUM(N12,Configuration!$H$41),SUM(N12))</f>
        <v>8.233333333333329</v>
      </c>
      <c r="O13" s="49" t="str">
        <f t="shared" si="24"/>
        <v>-</v>
      </c>
      <c r="P13" s="143">
        <f t="shared" si="17"/>
        <v>7.9166666666666625</v>
      </c>
      <c r="Q13" s="167">
        <f t="shared" si="18"/>
        <v>0</v>
      </c>
      <c r="R13" s="168">
        <f t="shared" si="18"/>
        <v>0</v>
      </c>
      <c r="S13" s="168">
        <f t="shared" si="18"/>
        <v>0</v>
      </c>
      <c r="T13" s="169">
        <f t="shared" si="18"/>
        <v>0</v>
      </c>
      <c r="U13" s="97">
        <f t="shared" si="2"/>
        <v>0</v>
      </c>
      <c r="V13" s="97">
        <f t="shared" si="3"/>
        <v>0</v>
      </c>
      <c r="W13" s="97">
        <f t="shared" si="4"/>
        <v>0</v>
      </c>
      <c r="X13" s="97">
        <f t="shared" si="5"/>
        <v>0</v>
      </c>
      <c r="Y13" s="209"/>
      <c r="Z13" s="210"/>
      <c r="AA13" s="210"/>
      <c r="AB13" s="128">
        <f>IF(AND(D13="Jour férié semaine",((G13-F13)+(I13-H13)+(K13-J13)=0)),VLOOKUP(D13,Systeemgegevens!$J:$K,2,FALSE),0)</f>
        <v>0</v>
      </c>
      <c r="AC13" s="43">
        <f>IF(AND(NOT(ISERROR(FIND("Congé",D13))),ISERROR(FIND("1/2",D13)),ISERROR(FIND("Synd",D13)),ISERROR(FIND("synd",D13)),(G13-F13+I13-H13+K13-J13)=0),VLOOKUP(D13,Systeemgegevens!$J:$K,2,FALSE),IF(AND(NOT(ISERROR(FIND("1/2 Congé + ",D13))),(G13-F13+I13-H13+K13-J13)=0),VLOOKUP(D13,Systeemgegevens!$J:$K,2,FALSE)/2,IF(AND(NOT(ISERROR(FIND("1/2 Congé",D13))),ISERROR(FIND(" + ",D13)),ISERROR(FIND("1/2 Congé Synd.",D13))),VLOOKUP(D13,Systeemgegevens!$J:$K,2,FALSE),0)))</f>
        <v>0</v>
      </c>
      <c r="AD13" s="43">
        <f>IF(AND(OR(D13="1/2 Congé Synd.",D13="Congé Synd."),((G13-F13)+(I13-H13)+(K13-J13)=0)),VLOOKUP(D13,Systeemgegevens!$J:$K,2,FALSE),IF(AND(D13="1/2 Congé + 1/2 synd.",((G13-F13)+(I13-H13)+(K13-J13)=0)),AC13,0))</f>
        <v>0</v>
      </c>
      <c r="AE13" s="43">
        <f>IF(AND(D13="Jour de pont",((G13-F13)+(I13-H13)+(K13-J13)=0)),VLOOKUP(D13,Systeemgegevens!$J:$K,2,FALSE),0)</f>
        <v>0</v>
      </c>
      <c r="AF13" s="43">
        <f>IF(AND(D13="Jour libre 4/5",AND((G13-F13)+(I13-H13)+(K13-J13)=0)),VLOOKUP(D13,Systeemgegevens!$J:$K,2,FALSE),0)</f>
        <v>0</v>
      </c>
      <c r="AG13" s="118">
        <f>IF(AND(D13&lt;&gt;"",SUM(AB13:AF13)=0,D13&lt;&gt;$AB$4,D13&lt;&gt;$AC$4,D13&lt;&gt;$AE$4,D13&lt;&gt;$AF$4),VLOOKUP(D13,Systeemgegevens!$J:$K,2,FALSE),0)</f>
        <v>0</v>
      </c>
      <c r="AH13" s="119">
        <f t="shared" si="6"/>
        <v>0</v>
      </c>
      <c r="AI13" s="101">
        <f t="shared" si="7"/>
        <v>0</v>
      </c>
      <c r="AJ13" s="118">
        <f t="shared" si="19"/>
        <v>0</v>
      </c>
      <c r="AK13" s="119">
        <f t="shared" si="8"/>
        <v>0</v>
      </c>
      <c r="AL13" s="101">
        <f t="shared" si="9"/>
        <v>0</v>
      </c>
      <c r="AM13" s="43">
        <f t="shared" si="20"/>
        <v>0</v>
      </c>
      <c r="AN13" s="118">
        <f t="shared" si="21"/>
        <v>0</v>
      </c>
      <c r="AO13" s="122">
        <f t="shared" si="10"/>
        <v>0</v>
      </c>
      <c r="AP13" s="107">
        <f t="shared" si="11"/>
        <v>0</v>
      </c>
      <c r="AQ13" s="107">
        <f t="shared" si="12"/>
        <v>0</v>
      </c>
      <c r="AR13" s="123">
        <f t="shared" si="13"/>
        <v>0</v>
      </c>
      <c r="AS13" s="124">
        <f t="shared" si="14"/>
        <v>0</v>
      </c>
      <c r="AT13" s="124">
        <f t="shared" si="15"/>
        <v>0</v>
      </c>
      <c r="AU13" s="124">
        <f t="shared" si="16"/>
        <v>0</v>
      </c>
      <c r="AV13" s="117" t="s">
        <v>32</v>
      </c>
      <c r="AW13" s="129">
        <f>IF(($R$40=AV13)*AND($R$41&lt;&gt;""),VLOOKUP($R$41,'Barèmes police'!$Q$4:$R$30,2),0)</f>
        <v>0</v>
      </c>
      <c r="AX13" s="16" t="str">
        <f>IF('Types de jours'!F19&lt;&gt;"",'Types de jours'!F19,"")</f>
        <v>Congé Synd.</v>
      </c>
      <c r="AY13" s="144">
        <f>IF(AX13&lt;&gt;"",'Types de jours'!I19,"")</f>
        <v>0.31666666666666665</v>
      </c>
      <c r="AZ13" s="269"/>
      <c r="BA13" s="154"/>
      <c r="BB13" s="154"/>
      <c r="BC13" s="154"/>
      <c r="BD13" s="154"/>
      <c r="BE13" s="154"/>
      <c r="BF13" s="154"/>
    </row>
    <row r="14" spans="1:58" ht="12.75" customHeight="1" x14ac:dyDescent="0.2">
      <c r="A14" s="34"/>
      <c r="B14" s="24" t="str">
        <f t="shared" si="0"/>
        <v>Di</v>
      </c>
      <c r="C14" s="25">
        <f t="shared" si="22"/>
        <v>45389</v>
      </c>
      <c r="D14" s="51"/>
      <c r="E14" s="116"/>
      <c r="F14" s="52"/>
      <c r="G14" s="53"/>
      <c r="H14" s="52"/>
      <c r="I14" s="53"/>
      <c r="J14" s="54"/>
      <c r="K14" s="55"/>
      <c r="L14" s="40">
        <f t="shared" si="1"/>
        <v>0</v>
      </c>
      <c r="M14" s="41">
        <f t="shared" si="23"/>
        <v>0.31666666666666665</v>
      </c>
      <c r="N14" s="42">
        <f>IF(AND(D14&lt;&gt;"Jour libre 4/5",B14&lt;&gt;"Sa",B14&lt;&gt;"Di"),SUM(N13,Configuration!$H$41),SUM(N13))</f>
        <v>8.233333333333329</v>
      </c>
      <c r="O14" s="49" t="str">
        <f t="shared" si="24"/>
        <v>-</v>
      </c>
      <c r="P14" s="143">
        <f t="shared" si="17"/>
        <v>7.9166666666666625</v>
      </c>
      <c r="Q14" s="167">
        <f t="shared" si="18"/>
        <v>0</v>
      </c>
      <c r="R14" s="168">
        <f t="shared" si="18"/>
        <v>0</v>
      </c>
      <c r="S14" s="168">
        <f t="shared" si="18"/>
        <v>0</v>
      </c>
      <c r="T14" s="169">
        <f t="shared" si="18"/>
        <v>0</v>
      </c>
      <c r="U14" s="97">
        <f t="shared" si="2"/>
        <v>0</v>
      </c>
      <c r="V14" s="97">
        <f t="shared" si="3"/>
        <v>0</v>
      </c>
      <c r="W14" s="97">
        <f t="shared" si="4"/>
        <v>0</v>
      </c>
      <c r="X14" s="97">
        <f t="shared" si="5"/>
        <v>0</v>
      </c>
      <c r="Y14" s="209"/>
      <c r="Z14" s="210"/>
      <c r="AA14" s="210"/>
      <c r="AB14" s="128">
        <f>IF(AND(D14="Jour férié semaine",((G14-F14)+(I14-H14)+(K14-J14)=0)),VLOOKUP(D14,Systeemgegevens!$J:$K,2,FALSE),0)</f>
        <v>0</v>
      </c>
      <c r="AC14" s="43">
        <f>IF(AND(NOT(ISERROR(FIND("Congé",D14))),ISERROR(FIND("1/2",D14)),ISERROR(FIND("Synd",D14)),ISERROR(FIND("synd",D14)),(G14-F14+I14-H14+K14-J14)=0),VLOOKUP(D14,Systeemgegevens!$J:$K,2,FALSE),IF(AND(NOT(ISERROR(FIND("1/2 Congé + ",D14))),(G14-F14+I14-H14+K14-J14)=0),VLOOKUP(D14,Systeemgegevens!$J:$K,2,FALSE)/2,IF(AND(NOT(ISERROR(FIND("1/2 Congé",D14))),ISERROR(FIND(" + ",D14)),ISERROR(FIND("1/2 Congé Synd.",D14))),VLOOKUP(D14,Systeemgegevens!$J:$K,2,FALSE),0)))</f>
        <v>0</v>
      </c>
      <c r="AD14" s="43">
        <f>IF(AND(OR(D14="1/2 Congé Synd.",D14="Congé Synd."),((G14-F14)+(I14-H14)+(K14-J14)=0)),VLOOKUP(D14,Systeemgegevens!$J:$K,2,FALSE),IF(AND(D14="1/2 Congé + 1/2 synd.",((G14-F14)+(I14-H14)+(K14-J14)=0)),AC14,0))</f>
        <v>0</v>
      </c>
      <c r="AE14" s="43">
        <f>IF(AND(D14="Jour de pont",((G14-F14)+(I14-H14)+(K14-J14)=0)),VLOOKUP(D14,Systeemgegevens!$J:$K,2,FALSE),0)</f>
        <v>0</v>
      </c>
      <c r="AF14" s="43">
        <f>IF(AND(D14="Jour libre 4/5",AND((G14-F14)+(I14-H14)+(K14-J14)=0)),VLOOKUP(D14,Systeemgegevens!$J:$K,2,FALSE),0)</f>
        <v>0</v>
      </c>
      <c r="AG14" s="118">
        <f>IF(AND(D14&lt;&gt;"",SUM(AB14:AF14)=0,D14&lt;&gt;$AB$4,D14&lt;&gt;$AC$4,D14&lt;&gt;$AE$4,D14&lt;&gt;$AF$4),VLOOKUP(D14,Systeemgegevens!$J:$K,2,FALSE),0)</f>
        <v>0</v>
      </c>
      <c r="AH14" s="119">
        <f t="shared" si="6"/>
        <v>0</v>
      </c>
      <c r="AI14" s="101">
        <f t="shared" si="7"/>
        <v>0</v>
      </c>
      <c r="AJ14" s="118">
        <f t="shared" si="19"/>
        <v>0</v>
      </c>
      <c r="AK14" s="119">
        <f t="shared" si="8"/>
        <v>0</v>
      </c>
      <c r="AL14" s="101">
        <f t="shared" si="9"/>
        <v>0</v>
      </c>
      <c r="AM14" s="43">
        <f t="shared" si="20"/>
        <v>0</v>
      </c>
      <c r="AN14" s="118">
        <f t="shared" si="21"/>
        <v>0</v>
      </c>
      <c r="AO14" s="122">
        <f t="shared" si="10"/>
        <v>0</v>
      </c>
      <c r="AP14" s="107">
        <f t="shared" si="11"/>
        <v>0</v>
      </c>
      <c r="AQ14" s="107">
        <f t="shared" si="12"/>
        <v>0</v>
      </c>
      <c r="AR14" s="123">
        <f t="shared" si="13"/>
        <v>0</v>
      </c>
      <c r="AS14" s="124">
        <f t="shared" si="14"/>
        <v>0</v>
      </c>
      <c r="AT14" s="124">
        <f t="shared" si="15"/>
        <v>0</v>
      </c>
      <c r="AU14" s="124">
        <f t="shared" si="16"/>
        <v>0</v>
      </c>
      <c r="AV14" s="117" t="s">
        <v>31</v>
      </c>
      <c r="AW14" s="129">
        <f>IF(($R$40=AV14)*AND($R$41&lt;&gt;""),VLOOKUP($R$41,'Barèmes police'!$T$4:$U$30,2),0)</f>
        <v>0</v>
      </c>
      <c r="AX14" s="16" t="str">
        <f>IF('Types de jours'!F20&lt;&gt;"",'Types de jours'!F20,"")</f>
        <v>1/2 Congé Synd.</v>
      </c>
      <c r="AY14" s="144">
        <f>IF(AX14&lt;&gt;"",'Types de jours'!I20,"")</f>
        <v>0.15833333333333333</v>
      </c>
      <c r="AZ14" s="269"/>
      <c r="BA14" s="154"/>
      <c r="BB14" s="154"/>
      <c r="BC14" s="154"/>
      <c r="BD14" s="154"/>
      <c r="BE14" s="154"/>
      <c r="BF14" s="154"/>
    </row>
    <row r="15" spans="1:58" ht="12.75" customHeight="1" x14ac:dyDescent="0.2">
      <c r="A15" s="34"/>
      <c r="B15" s="24" t="str">
        <f t="shared" si="0"/>
        <v>Lu</v>
      </c>
      <c r="C15" s="25">
        <f t="shared" si="22"/>
        <v>45390</v>
      </c>
      <c r="D15" s="51"/>
      <c r="E15" s="116"/>
      <c r="F15" s="52"/>
      <c r="G15" s="53"/>
      <c r="H15" s="52"/>
      <c r="I15" s="53"/>
      <c r="J15" s="54"/>
      <c r="K15" s="55"/>
      <c r="L15" s="40">
        <f t="shared" si="1"/>
        <v>0</v>
      </c>
      <c r="M15" s="41">
        <f t="shared" si="23"/>
        <v>0.31666666666666665</v>
      </c>
      <c r="N15" s="42">
        <f>IF(AND(D15&lt;&gt;"Jour libre 4/5",B15&lt;&gt;"Sa",B15&lt;&gt;"Di"),SUM(N14,Configuration!$H$41),SUM(N14))</f>
        <v>8.5499999999999954</v>
      </c>
      <c r="O15" s="49" t="str">
        <f t="shared" si="24"/>
        <v>-</v>
      </c>
      <c r="P15" s="143">
        <f t="shared" si="17"/>
        <v>8.233333333333329</v>
      </c>
      <c r="Q15" s="167">
        <f t="shared" si="18"/>
        <v>0</v>
      </c>
      <c r="R15" s="168">
        <f t="shared" si="18"/>
        <v>0</v>
      </c>
      <c r="S15" s="168">
        <f t="shared" si="18"/>
        <v>0</v>
      </c>
      <c r="T15" s="169">
        <f t="shared" si="18"/>
        <v>0</v>
      </c>
      <c r="U15" s="97">
        <f t="shared" si="2"/>
        <v>0</v>
      </c>
      <c r="V15" s="97">
        <f t="shared" si="3"/>
        <v>0</v>
      </c>
      <c r="W15" s="97">
        <f t="shared" si="4"/>
        <v>0</v>
      </c>
      <c r="X15" s="97">
        <f t="shared" si="5"/>
        <v>0</v>
      </c>
      <c r="Y15" s="209"/>
      <c r="Z15" s="210"/>
      <c r="AA15" s="210"/>
      <c r="AB15" s="128">
        <f>IF(AND(D15="Jour férié semaine",((G15-F15)+(I15-H15)+(K15-J15)=0)),VLOOKUP(D15,Systeemgegevens!$J:$K,2,FALSE),0)</f>
        <v>0</v>
      </c>
      <c r="AC15" s="43">
        <f>IF(AND(NOT(ISERROR(FIND("Congé",D15))),ISERROR(FIND("1/2",D15)),ISERROR(FIND("Synd",D15)),ISERROR(FIND("synd",D15)),(G15-F15+I15-H15+K15-J15)=0),VLOOKUP(D15,Systeemgegevens!$J:$K,2,FALSE),IF(AND(NOT(ISERROR(FIND("1/2 Congé + ",D15))),(G15-F15+I15-H15+K15-J15)=0),VLOOKUP(D15,Systeemgegevens!$J:$K,2,FALSE)/2,IF(AND(NOT(ISERROR(FIND("1/2 Congé",D15))),ISERROR(FIND(" + ",D15)),ISERROR(FIND("1/2 Congé Synd.",D15))),VLOOKUP(D15,Systeemgegevens!$J:$K,2,FALSE),0)))</f>
        <v>0</v>
      </c>
      <c r="AD15" s="43">
        <f>IF(AND(OR(D15="1/2 Congé Synd.",D15="Congé Synd."),((G15-F15)+(I15-H15)+(K15-J15)=0)),VLOOKUP(D15,Systeemgegevens!$J:$K,2,FALSE),IF(AND(D15="1/2 Congé + 1/2 synd.",((G15-F15)+(I15-H15)+(K15-J15)=0)),AC15,0))</f>
        <v>0</v>
      </c>
      <c r="AE15" s="43">
        <f>IF(AND(D15="Jour de pont",((G15-F15)+(I15-H15)+(K15-J15)=0)),VLOOKUP(D15,Systeemgegevens!$J:$K,2,FALSE),0)</f>
        <v>0</v>
      </c>
      <c r="AF15" s="43">
        <f>IF(AND(D15="Jour libre 4/5",AND((G15-F15)+(I15-H15)+(K15-J15)=0)),VLOOKUP(D15,Systeemgegevens!$J:$K,2,FALSE),0)</f>
        <v>0</v>
      </c>
      <c r="AG15" s="118">
        <f>IF(AND(D15&lt;&gt;"",SUM(AB15:AF15)=0,D15&lt;&gt;$AB$4,D15&lt;&gt;$AC$4,D15&lt;&gt;$AE$4,D15&lt;&gt;$AF$4),VLOOKUP(D15,Systeemgegevens!$J:$K,2,FALSE),0)</f>
        <v>0</v>
      </c>
      <c r="AH15" s="119">
        <f t="shared" si="6"/>
        <v>0</v>
      </c>
      <c r="AI15" s="101">
        <f t="shared" si="7"/>
        <v>0</v>
      </c>
      <c r="AJ15" s="118">
        <f t="shared" si="19"/>
        <v>0</v>
      </c>
      <c r="AK15" s="119">
        <f t="shared" si="8"/>
        <v>0</v>
      </c>
      <c r="AL15" s="101">
        <f t="shared" si="9"/>
        <v>0</v>
      </c>
      <c r="AM15" s="43">
        <f t="shared" si="20"/>
        <v>0</v>
      </c>
      <c r="AN15" s="118">
        <f t="shared" si="21"/>
        <v>0</v>
      </c>
      <c r="AO15" s="122">
        <f t="shared" si="10"/>
        <v>0</v>
      </c>
      <c r="AP15" s="107">
        <f t="shared" si="11"/>
        <v>0</v>
      </c>
      <c r="AQ15" s="107">
        <f t="shared" si="12"/>
        <v>0</v>
      </c>
      <c r="AR15" s="123">
        <f t="shared" si="13"/>
        <v>0</v>
      </c>
      <c r="AS15" s="124">
        <f t="shared" si="14"/>
        <v>0</v>
      </c>
      <c r="AT15" s="124">
        <f t="shared" si="15"/>
        <v>0</v>
      </c>
      <c r="AU15" s="124">
        <f t="shared" si="16"/>
        <v>0</v>
      </c>
      <c r="AV15" s="117" t="s">
        <v>30</v>
      </c>
      <c r="AW15" s="129">
        <f>IF(($R$40=AV15)*AND($R$41&lt;&gt;""),VLOOKUP($R$41,'Barèmes police'!$W$4:$X$30,2),0)</f>
        <v>0</v>
      </c>
      <c r="AX15" s="16" t="str">
        <f>IF('Types de jours'!F21&lt;&gt;"",'Types de jours'!F21,"")</f>
        <v>1/2 Congé + 1/2 synd.</v>
      </c>
      <c r="AY15" s="144">
        <f>IF(AX15&lt;&gt;"",'Types de jours'!I21,"")</f>
        <v>0.31666666666666665</v>
      </c>
      <c r="AZ15" s="269"/>
      <c r="BA15" s="154"/>
      <c r="BB15" s="154"/>
      <c r="BC15" s="154"/>
      <c r="BD15" s="154"/>
      <c r="BE15" s="154"/>
      <c r="BF15" s="154"/>
    </row>
    <row r="16" spans="1:58" ht="12.75" customHeight="1" x14ac:dyDescent="0.2">
      <c r="A16" s="34"/>
      <c r="B16" s="24" t="str">
        <f t="shared" si="0"/>
        <v>Ma</v>
      </c>
      <c r="C16" s="25">
        <f t="shared" si="22"/>
        <v>45391</v>
      </c>
      <c r="D16" s="51"/>
      <c r="E16" s="116"/>
      <c r="F16" s="52"/>
      <c r="G16" s="53"/>
      <c r="H16" s="52"/>
      <c r="I16" s="53"/>
      <c r="J16" s="54"/>
      <c r="K16" s="55"/>
      <c r="L16" s="40">
        <f t="shared" si="1"/>
        <v>0</v>
      </c>
      <c r="M16" s="41">
        <f t="shared" si="23"/>
        <v>0.31666666666666665</v>
      </c>
      <c r="N16" s="42">
        <f>IF(AND(D16&lt;&gt;"Jour libre 4/5",B16&lt;&gt;"Sa",B16&lt;&gt;"Di"),SUM(N15,Configuration!$H$41),SUM(N15))</f>
        <v>8.8666666666666618</v>
      </c>
      <c r="O16" s="49" t="str">
        <f t="shared" si="24"/>
        <v>-</v>
      </c>
      <c r="P16" s="143">
        <f t="shared" si="17"/>
        <v>8.5499999999999954</v>
      </c>
      <c r="Q16" s="167">
        <f t="shared" si="18"/>
        <v>0</v>
      </c>
      <c r="R16" s="168">
        <f t="shared" si="18"/>
        <v>0</v>
      </c>
      <c r="S16" s="168">
        <f t="shared" si="18"/>
        <v>0</v>
      </c>
      <c r="T16" s="169">
        <f t="shared" si="18"/>
        <v>0</v>
      </c>
      <c r="U16" s="97">
        <f t="shared" si="2"/>
        <v>0</v>
      </c>
      <c r="V16" s="97">
        <f t="shared" si="3"/>
        <v>0</v>
      </c>
      <c r="W16" s="97">
        <f t="shared" si="4"/>
        <v>0</v>
      </c>
      <c r="X16" s="97">
        <f t="shared" si="5"/>
        <v>0</v>
      </c>
      <c r="Y16" s="209"/>
      <c r="Z16" s="210"/>
      <c r="AA16" s="210"/>
      <c r="AB16" s="128">
        <f>IF(AND(D16="Jour férié semaine",((G16-F16)+(I16-H16)+(K16-J16)=0)),VLOOKUP(D16,Systeemgegevens!$J:$K,2,FALSE),0)</f>
        <v>0</v>
      </c>
      <c r="AC16" s="43">
        <f>IF(AND(NOT(ISERROR(FIND("Congé",D16))),ISERROR(FIND("1/2",D16)),ISERROR(FIND("Synd",D16)),ISERROR(FIND("synd",D16)),(G16-F16+I16-H16+K16-J16)=0),VLOOKUP(D16,Systeemgegevens!$J:$K,2,FALSE),IF(AND(NOT(ISERROR(FIND("1/2 Congé + ",D16))),(G16-F16+I16-H16+K16-J16)=0),VLOOKUP(D16,Systeemgegevens!$J:$K,2,FALSE)/2,IF(AND(NOT(ISERROR(FIND("1/2 Congé",D16))),ISERROR(FIND(" + ",D16)),ISERROR(FIND("1/2 Congé Synd.",D16))),VLOOKUP(D16,Systeemgegevens!$J:$K,2,FALSE),0)))</f>
        <v>0</v>
      </c>
      <c r="AD16" s="43">
        <f>IF(AND(OR(D16="1/2 Congé Synd.",D16="Congé Synd."),((G16-F16)+(I16-H16)+(K16-J16)=0)),VLOOKUP(D16,Systeemgegevens!$J:$K,2,FALSE),IF(AND(D16="1/2 Congé + 1/2 synd.",((G16-F16)+(I16-H16)+(K16-J16)=0)),AC16,0))</f>
        <v>0</v>
      </c>
      <c r="AE16" s="43">
        <f>IF(AND(D16="Jour de pont",((G16-F16)+(I16-H16)+(K16-J16)=0)),VLOOKUP(D16,Systeemgegevens!$J:$K,2,FALSE),0)</f>
        <v>0</v>
      </c>
      <c r="AF16" s="43">
        <f>IF(AND(D16="Jour libre 4/5",AND((G16-F16)+(I16-H16)+(K16-J16)=0)),VLOOKUP(D16,Systeemgegevens!$J:$K,2,FALSE),0)</f>
        <v>0</v>
      </c>
      <c r="AG16" s="118">
        <f>IF(AND(D16&lt;&gt;"",SUM(AB16:AF16)=0,D16&lt;&gt;$AB$4,D16&lt;&gt;$AC$4,D16&lt;&gt;$AE$4,D16&lt;&gt;$AF$4),VLOOKUP(D16,Systeemgegevens!$J:$K,2,FALSE),0)</f>
        <v>0</v>
      </c>
      <c r="AH16" s="119">
        <f t="shared" si="6"/>
        <v>0</v>
      </c>
      <c r="AI16" s="101">
        <f t="shared" si="7"/>
        <v>0</v>
      </c>
      <c r="AJ16" s="118">
        <f t="shared" si="19"/>
        <v>0</v>
      </c>
      <c r="AK16" s="119">
        <f t="shared" si="8"/>
        <v>0</v>
      </c>
      <c r="AL16" s="101">
        <f t="shared" si="9"/>
        <v>0</v>
      </c>
      <c r="AM16" s="43">
        <f t="shared" si="20"/>
        <v>0</v>
      </c>
      <c r="AN16" s="118">
        <f t="shared" si="21"/>
        <v>0</v>
      </c>
      <c r="AO16" s="122">
        <f t="shared" si="10"/>
        <v>0</v>
      </c>
      <c r="AP16" s="107">
        <f t="shared" si="11"/>
        <v>0</v>
      </c>
      <c r="AQ16" s="107">
        <f t="shared" si="12"/>
        <v>0</v>
      </c>
      <c r="AR16" s="123">
        <f t="shared" si="13"/>
        <v>0</v>
      </c>
      <c r="AS16" s="124">
        <f t="shared" si="14"/>
        <v>0</v>
      </c>
      <c r="AT16" s="124">
        <f t="shared" si="15"/>
        <v>0</v>
      </c>
      <c r="AU16" s="124">
        <f t="shared" si="16"/>
        <v>0</v>
      </c>
      <c r="AV16" s="117" t="s">
        <v>29</v>
      </c>
      <c r="AW16" s="129">
        <f>IF(($R$40=AV16)*AND($R$41&lt;&gt;""),VLOOKUP($R$41,'Barèmes police'!$Z$4:$AA$30,2),0)</f>
        <v>0</v>
      </c>
      <c r="AX16" s="16" t="str">
        <f>IF('Types de jours'!F22&lt;&gt;"",'Types de jours'!F22,"")</f>
        <v>Jour férié semaine</v>
      </c>
      <c r="AY16" s="144">
        <f>IF(AX16&lt;&gt;"",'Types de jours'!I22,"")</f>
        <v>0.31666666666666665</v>
      </c>
      <c r="AZ16" s="269"/>
      <c r="BA16" s="154"/>
      <c r="BB16" s="154"/>
      <c r="BC16" s="154"/>
      <c r="BD16" s="154"/>
      <c r="BE16" s="154"/>
      <c r="BF16" s="154"/>
    </row>
    <row r="17" spans="1:58" ht="12.75" customHeight="1" x14ac:dyDescent="0.2">
      <c r="A17" s="34"/>
      <c r="B17" s="24" t="str">
        <f t="shared" si="0"/>
        <v>Me</v>
      </c>
      <c r="C17" s="25">
        <f t="shared" si="22"/>
        <v>45392</v>
      </c>
      <c r="D17" s="51"/>
      <c r="E17" s="116"/>
      <c r="F17" s="52"/>
      <c r="G17" s="53"/>
      <c r="H17" s="52"/>
      <c r="I17" s="53"/>
      <c r="J17" s="54"/>
      <c r="K17" s="55"/>
      <c r="L17" s="40">
        <f t="shared" si="1"/>
        <v>0</v>
      </c>
      <c r="M17" s="41">
        <f t="shared" si="23"/>
        <v>0.31666666666666665</v>
      </c>
      <c r="N17" s="42">
        <f>IF(AND(D17&lt;&gt;"Jour libre 4/5",B17&lt;&gt;"Sa",B17&lt;&gt;"Di"),SUM(N16,Configuration!$H$41),SUM(N16))</f>
        <v>9.1833333333333282</v>
      </c>
      <c r="O17" s="49" t="str">
        <f t="shared" si="24"/>
        <v>-</v>
      </c>
      <c r="P17" s="143">
        <f t="shared" si="17"/>
        <v>8.8666666666666618</v>
      </c>
      <c r="Q17" s="167">
        <f t="shared" si="18"/>
        <v>0</v>
      </c>
      <c r="R17" s="168">
        <f t="shared" si="18"/>
        <v>0</v>
      </c>
      <c r="S17" s="168">
        <f t="shared" si="18"/>
        <v>0</v>
      </c>
      <c r="T17" s="169">
        <f t="shared" si="18"/>
        <v>0</v>
      </c>
      <c r="U17" s="97">
        <f t="shared" si="2"/>
        <v>0</v>
      </c>
      <c r="V17" s="97">
        <f t="shared" si="3"/>
        <v>0</v>
      </c>
      <c r="W17" s="97">
        <f t="shared" si="4"/>
        <v>0</v>
      </c>
      <c r="X17" s="97">
        <f t="shared" si="5"/>
        <v>0</v>
      </c>
      <c r="Y17" s="209"/>
      <c r="Z17" s="210"/>
      <c r="AA17" s="210"/>
      <c r="AB17" s="128">
        <f>IF(AND(D17="Jour férié semaine",((G17-F17)+(I17-H17)+(K17-J17)=0)),VLOOKUP(D17,Systeemgegevens!$J:$K,2,FALSE),0)</f>
        <v>0</v>
      </c>
      <c r="AC17" s="43">
        <f>IF(AND(NOT(ISERROR(FIND("Congé",D17))),ISERROR(FIND("1/2",D17)),ISERROR(FIND("Synd",D17)),ISERROR(FIND("synd",D17)),(G17-F17+I17-H17+K17-J17)=0),VLOOKUP(D17,Systeemgegevens!$J:$K,2,FALSE),IF(AND(NOT(ISERROR(FIND("1/2 Congé + ",D17))),(G17-F17+I17-H17+K17-J17)=0),VLOOKUP(D17,Systeemgegevens!$J:$K,2,FALSE)/2,IF(AND(NOT(ISERROR(FIND("1/2 Congé",D17))),ISERROR(FIND(" + ",D17)),ISERROR(FIND("1/2 Congé Synd.",D17))),VLOOKUP(D17,Systeemgegevens!$J:$K,2,FALSE),0)))</f>
        <v>0</v>
      </c>
      <c r="AD17" s="43">
        <f>IF(AND(OR(D17="1/2 Congé Synd.",D17="Congé Synd."),((G17-F17)+(I17-H17)+(K17-J17)=0)),VLOOKUP(D17,Systeemgegevens!$J:$K,2,FALSE),IF(AND(D17="1/2 Congé + 1/2 synd.",((G17-F17)+(I17-H17)+(K17-J17)=0)),AC17,0))</f>
        <v>0</v>
      </c>
      <c r="AE17" s="43">
        <f>IF(AND(D17="Jour de pont",((G17-F17)+(I17-H17)+(K17-J17)=0)),VLOOKUP(D17,Systeemgegevens!$J:$K,2,FALSE),0)</f>
        <v>0</v>
      </c>
      <c r="AF17" s="43">
        <f>IF(AND(D17="Jour libre 4/5",AND((G17-F17)+(I17-H17)+(K17-J17)=0)),VLOOKUP(D17,Systeemgegevens!$J:$K,2,FALSE),0)</f>
        <v>0</v>
      </c>
      <c r="AG17" s="118">
        <f>IF(AND(D17&lt;&gt;"",SUM(AB17:AF17)=0,D17&lt;&gt;$AB$4,D17&lt;&gt;$AC$4,D17&lt;&gt;$AE$4,D17&lt;&gt;$AF$4),VLOOKUP(D17,Systeemgegevens!$J:$K,2,FALSE),0)</f>
        <v>0</v>
      </c>
      <c r="AH17" s="119">
        <f t="shared" si="6"/>
        <v>0</v>
      </c>
      <c r="AI17" s="101">
        <f t="shared" si="7"/>
        <v>0</v>
      </c>
      <c r="AJ17" s="118">
        <f t="shared" si="19"/>
        <v>0</v>
      </c>
      <c r="AK17" s="119">
        <f t="shared" si="8"/>
        <v>0</v>
      </c>
      <c r="AL17" s="101">
        <f t="shared" si="9"/>
        <v>0</v>
      </c>
      <c r="AM17" s="43">
        <f t="shared" si="20"/>
        <v>0</v>
      </c>
      <c r="AN17" s="118">
        <f t="shared" si="21"/>
        <v>0</v>
      </c>
      <c r="AO17" s="122">
        <f t="shared" si="10"/>
        <v>0</v>
      </c>
      <c r="AP17" s="107">
        <f t="shared" si="11"/>
        <v>0</v>
      </c>
      <c r="AQ17" s="107">
        <f t="shared" si="12"/>
        <v>0</v>
      </c>
      <c r="AR17" s="123">
        <f t="shared" si="13"/>
        <v>0</v>
      </c>
      <c r="AS17" s="124">
        <f t="shared" si="14"/>
        <v>0</v>
      </c>
      <c r="AT17" s="124">
        <f t="shared" si="15"/>
        <v>0</v>
      </c>
      <c r="AU17" s="124">
        <f t="shared" si="16"/>
        <v>0</v>
      </c>
      <c r="AV17" s="117" t="s">
        <v>28</v>
      </c>
      <c r="AW17" s="129">
        <f>IF(($R$40=AV17)*AND($R$41&lt;&gt;""),VLOOKUP($R$41,'Barèmes police'!$AC$4:$AD$30,2),0)</f>
        <v>0</v>
      </c>
      <c r="AX17" s="16" t="str">
        <f>IF('Types de jours'!F23&lt;&gt;"",'Types de jours'!F23,"")</f>
        <v>Jour libre 4/5</v>
      </c>
      <c r="AY17" s="144">
        <f>IF(AX17&lt;&gt;"",'Types de jours'!I23,"")</f>
        <v>0</v>
      </c>
      <c r="AZ17" s="269"/>
      <c r="BA17" s="154"/>
      <c r="BB17" s="154"/>
      <c r="BC17" s="154"/>
      <c r="BD17" s="154"/>
      <c r="BE17" s="154"/>
      <c r="BF17" s="154"/>
    </row>
    <row r="18" spans="1:58" ht="12.75" customHeight="1" x14ac:dyDescent="0.2">
      <c r="A18" s="34"/>
      <c r="B18" s="24" t="str">
        <f t="shared" si="0"/>
        <v>Je</v>
      </c>
      <c r="C18" s="25">
        <f t="shared" si="22"/>
        <v>45393</v>
      </c>
      <c r="D18" s="51"/>
      <c r="E18" s="116"/>
      <c r="F18" s="52"/>
      <c r="G18" s="53"/>
      <c r="H18" s="52"/>
      <c r="I18" s="53"/>
      <c r="J18" s="54"/>
      <c r="K18" s="55"/>
      <c r="L18" s="40">
        <f t="shared" si="1"/>
        <v>0</v>
      </c>
      <c r="M18" s="41">
        <f t="shared" si="23"/>
        <v>0.31666666666666665</v>
      </c>
      <c r="N18" s="42">
        <f>IF(AND(D18&lt;&gt;"Jour libre 4/5",B18&lt;&gt;"Sa",B18&lt;&gt;"Di"),SUM(N17,Configuration!$H$41),SUM(N17))</f>
        <v>9.4999999999999947</v>
      </c>
      <c r="O18" s="49" t="str">
        <f t="shared" si="24"/>
        <v>-</v>
      </c>
      <c r="P18" s="143">
        <f t="shared" si="17"/>
        <v>9.1833333333333282</v>
      </c>
      <c r="Q18" s="167">
        <f t="shared" si="18"/>
        <v>0</v>
      </c>
      <c r="R18" s="168">
        <f t="shared" si="18"/>
        <v>0</v>
      </c>
      <c r="S18" s="168">
        <f t="shared" si="18"/>
        <v>0</v>
      </c>
      <c r="T18" s="169">
        <f t="shared" si="18"/>
        <v>0</v>
      </c>
      <c r="U18" s="97">
        <f t="shared" si="2"/>
        <v>0</v>
      </c>
      <c r="V18" s="97">
        <f t="shared" si="3"/>
        <v>0</v>
      </c>
      <c r="W18" s="97">
        <f t="shared" si="4"/>
        <v>0</v>
      </c>
      <c r="X18" s="97">
        <f t="shared" si="5"/>
        <v>0</v>
      </c>
      <c r="Y18" s="209"/>
      <c r="Z18" s="210"/>
      <c r="AA18" s="210"/>
      <c r="AB18" s="128">
        <f>IF(AND(D18="Jour férié semaine",((G18-F18)+(I18-H18)+(K18-J18)=0)),VLOOKUP(D18,Systeemgegevens!$J:$K,2,FALSE),0)</f>
        <v>0</v>
      </c>
      <c r="AC18" s="43">
        <f>IF(AND(NOT(ISERROR(FIND("Congé",D18))),ISERROR(FIND("1/2",D18)),ISERROR(FIND("Synd",D18)),ISERROR(FIND("synd",D18)),(G18-F18+I18-H18+K18-J18)=0),VLOOKUP(D18,Systeemgegevens!$J:$K,2,FALSE),IF(AND(NOT(ISERROR(FIND("1/2 Congé + ",D18))),(G18-F18+I18-H18+K18-J18)=0),VLOOKUP(D18,Systeemgegevens!$J:$K,2,FALSE)/2,IF(AND(NOT(ISERROR(FIND("1/2 Congé",D18))),ISERROR(FIND(" + ",D18)),ISERROR(FIND("1/2 Congé Synd.",D18))),VLOOKUP(D18,Systeemgegevens!$J:$K,2,FALSE),0)))</f>
        <v>0</v>
      </c>
      <c r="AD18" s="43">
        <f>IF(AND(OR(D18="1/2 Congé Synd.",D18="Congé Synd."),((G18-F18)+(I18-H18)+(K18-J18)=0)),VLOOKUP(D18,Systeemgegevens!$J:$K,2,FALSE),IF(AND(D18="1/2 Congé + 1/2 synd.",((G18-F18)+(I18-H18)+(K18-J18)=0)),AC18,0))</f>
        <v>0</v>
      </c>
      <c r="AE18" s="43">
        <f>IF(AND(D18="Jour de pont",((G18-F18)+(I18-H18)+(K18-J18)=0)),VLOOKUP(D18,Systeemgegevens!$J:$K,2,FALSE),0)</f>
        <v>0</v>
      </c>
      <c r="AF18" s="43">
        <f>IF(AND(D18="Jour libre 4/5",AND((G18-F18)+(I18-H18)+(K18-J18)=0)),VLOOKUP(D18,Systeemgegevens!$J:$K,2,FALSE),0)</f>
        <v>0</v>
      </c>
      <c r="AG18" s="118">
        <f>IF(AND(D18&lt;&gt;"",SUM(AB18:AF18)=0,D18&lt;&gt;$AB$4,D18&lt;&gt;$AC$4,D18&lt;&gt;$AE$4,D18&lt;&gt;$AF$4),VLOOKUP(D18,Systeemgegevens!$J:$K,2,FALSE),0)</f>
        <v>0</v>
      </c>
      <c r="AH18" s="119">
        <f t="shared" si="6"/>
        <v>0</v>
      </c>
      <c r="AI18" s="101">
        <f t="shared" si="7"/>
        <v>0</v>
      </c>
      <c r="AJ18" s="118">
        <f t="shared" si="19"/>
        <v>0</v>
      </c>
      <c r="AK18" s="119">
        <f t="shared" si="8"/>
        <v>0</v>
      </c>
      <c r="AL18" s="101">
        <f t="shared" si="9"/>
        <v>0</v>
      </c>
      <c r="AM18" s="43">
        <f t="shared" si="20"/>
        <v>0</v>
      </c>
      <c r="AN18" s="118">
        <f t="shared" si="21"/>
        <v>0</v>
      </c>
      <c r="AO18" s="122">
        <f t="shared" si="10"/>
        <v>0</v>
      </c>
      <c r="AP18" s="107">
        <f t="shared" si="11"/>
        <v>0</v>
      </c>
      <c r="AQ18" s="107">
        <f t="shared" si="12"/>
        <v>0</v>
      </c>
      <c r="AR18" s="123">
        <f t="shared" si="13"/>
        <v>0</v>
      </c>
      <c r="AS18" s="124">
        <f t="shared" si="14"/>
        <v>0</v>
      </c>
      <c r="AT18" s="124">
        <f t="shared" si="15"/>
        <v>0</v>
      </c>
      <c r="AU18" s="124">
        <f t="shared" si="16"/>
        <v>0</v>
      </c>
      <c r="AV18" s="117" t="s">
        <v>27</v>
      </c>
      <c r="AW18" s="129">
        <f>IF(($R$40=AV18)*AND($R$41&lt;&gt;""),VLOOKUP($R$41,'Barèmes police'!$AF$4:$AG$30,2),0)</f>
        <v>0</v>
      </c>
      <c r="AX18" s="16" t="str">
        <f>IF('Types de jours'!F24&lt;&gt;"",'Types de jours'!F24,"")</f>
        <v>Jour de pont</v>
      </c>
      <c r="AY18" s="144">
        <f>IF(AX18&lt;&gt;"",'Types de jours'!I24,"")</f>
        <v>0.31666666666666665</v>
      </c>
      <c r="AZ18" s="269"/>
      <c r="BA18" s="154"/>
      <c r="BB18" s="154"/>
      <c r="BC18" s="154"/>
      <c r="BD18" s="154"/>
      <c r="BE18" s="154"/>
      <c r="BF18" s="154"/>
    </row>
    <row r="19" spans="1:58" ht="12.75" customHeight="1" x14ac:dyDescent="0.2">
      <c r="A19" s="34"/>
      <c r="B19" s="24" t="str">
        <f t="shared" si="0"/>
        <v>Ve</v>
      </c>
      <c r="C19" s="25">
        <f t="shared" si="22"/>
        <v>45394</v>
      </c>
      <c r="D19" s="51"/>
      <c r="E19" s="116"/>
      <c r="F19" s="52"/>
      <c r="G19" s="53"/>
      <c r="H19" s="52"/>
      <c r="I19" s="53"/>
      <c r="J19" s="54"/>
      <c r="K19" s="55"/>
      <c r="L19" s="40">
        <f t="shared" si="1"/>
        <v>0</v>
      </c>
      <c r="M19" s="41">
        <f t="shared" si="23"/>
        <v>0.31666666666666665</v>
      </c>
      <c r="N19" s="42">
        <f>IF(AND(D19&lt;&gt;"Jour libre 4/5",B19&lt;&gt;"Sa",B19&lt;&gt;"Di"),SUM(N18,Configuration!$H$41),SUM(N18))</f>
        <v>9.8166666666666611</v>
      </c>
      <c r="O19" s="49" t="str">
        <f t="shared" si="24"/>
        <v>-</v>
      </c>
      <c r="P19" s="143">
        <f t="shared" si="17"/>
        <v>9.4999999999999947</v>
      </c>
      <c r="Q19" s="167">
        <f t="shared" si="18"/>
        <v>0</v>
      </c>
      <c r="R19" s="168">
        <f t="shared" si="18"/>
        <v>0</v>
      </c>
      <c r="S19" s="168">
        <f t="shared" si="18"/>
        <v>0</v>
      </c>
      <c r="T19" s="169">
        <f t="shared" si="18"/>
        <v>0</v>
      </c>
      <c r="U19" s="97">
        <f t="shared" si="2"/>
        <v>0</v>
      </c>
      <c r="V19" s="97">
        <f t="shared" si="3"/>
        <v>0</v>
      </c>
      <c r="W19" s="97">
        <f t="shared" si="4"/>
        <v>0</v>
      </c>
      <c r="X19" s="97">
        <f t="shared" si="5"/>
        <v>0</v>
      </c>
      <c r="Y19" s="209"/>
      <c r="Z19" s="210"/>
      <c r="AA19" s="210"/>
      <c r="AB19" s="128">
        <f>IF(AND(D19="Jour férié semaine",((G19-F19)+(I19-H19)+(K19-J19)=0)),VLOOKUP(D19,Systeemgegevens!$J:$K,2,FALSE),0)</f>
        <v>0</v>
      </c>
      <c r="AC19" s="43">
        <f>IF(AND(NOT(ISERROR(FIND("Congé",D19))),ISERROR(FIND("1/2",D19)),ISERROR(FIND("Synd",D19)),ISERROR(FIND("synd",D19)),(G19-F19+I19-H19+K19-J19)=0),VLOOKUP(D19,Systeemgegevens!$J:$K,2,FALSE),IF(AND(NOT(ISERROR(FIND("1/2 Congé + ",D19))),(G19-F19+I19-H19+K19-J19)=0),VLOOKUP(D19,Systeemgegevens!$J:$K,2,FALSE)/2,IF(AND(NOT(ISERROR(FIND("1/2 Congé",D19))),ISERROR(FIND(" + ",D19)),ISERROR(FIND("1/2 Congé Synd.",D19))),VLOOKUP(D19,Systeemgegevens!$J:$K,2,FALSE),0)))</f>
        <v>0</v>
      </c>
      <c r="AD19" s="43">
        <f>IF(AND(OR(D19="1/2 Congé Synd.",D19="Congé Synd."),((G19-F19)+(I19-H19)+(K19-J19)=0)),VLOOKUP(D19,Systeemgegevens!$J:$K,2,FALSE),IF(AND(D19="1/2 Congé + 1/2 synd.",((G19-F19)+(I19-H19)+(K19-J19)=0)),AC19,0))</f>
        <v>0</v>
      </c>
      <c r="AE19" s="43">
        <f>IF(AND(D19="Jour de pont",((G19-F19)+(I19-H19)+(K19-J19)=0)),VLOOKUP(D19,Systeemgegevens!$J:$K,2,FALSE),0)</f>
        <v>0</v>
      </c>
      <c r="AF19" s="43">
        <f>IF(AND(D19="Jour libre 4/5",AND((G19-F19)+(I19-H19)+(K19-J19)=0)),VLOOKUP(D19,Systeemgegevens!$J:$K,2,FALSE),0)</f>
        <v>0</v>
      </c>
      <c r="AG19" s="118">
        <f>IF(AND(D19&lt;&gt;"",SUM(AB19:AF19)=0,D19&lt;&gt;$AB$4,D19&lt;&gt;$AC$4,D19&lt;&gt;$AE$4,D19&lt;&gt;$AF$4),VLOOKUP(D19,Systeemgegevens!$J:$K,2,FALSE),0)</f>
        <v>0</v>
      </c>
      <c r="AH19" s="119">
        <f t="shared" si="6"/>
        <v>0</v>
      </c>
      <c r="AI19" s="101">
        <f t="shared" si="7"/>
        <v>0</v>
      </c>
      <c r="AJ19" s="118">
        <f t="shared" si="19"/>
        <v>0</v>
      </c>
      <c r="AK19" s="119">
        <f t="shared" si="8"/>
        <v>0</v>
      </c>
      <c r="AL19" s="101">
        <f t="shared" si="9"/>
        <v>0</v>
      </c>
      <c r="AM19" s="43">
        <f t="shared" si="20"/>
        <v>0</v>
      </c>
      <c r="AN19" s="118">
        <f t="shared" si="21"/>
        <v>0</v>
      </c>
      <c r="AO19" s="122">
        <f t="shared" si="10"/>
        <v>0</v>
      </c>
      <c r="AP19" s="107">
        <f t="shared" si="11"/>
        <v>0</v>
      </c>
      <c r="AQ19" s="107">
        <f t="shared" si="12"/>
        <v>0</v>
      </c>
      <c r="AR19" s="123">
        <f t="shared" si="13"/>
        <v>0</v>
      </c>
      <c r="AS19" s="124">
        <f t="shared" si="14"/>
        <v>0</v>
      </c>
      <c r="AT19" s="124">
        <f t="shared" si="15"/>
        <v>0</v>
      </c>
      <c r="AU19" s="124">
        <f t="shared" si="16"/>
        <v>0</v>
      </c>
      <c r="AV19" s="117" t="s">
        <v>26</v>
      </c>
      <c r="AW19" s="129">
        <f>IF(($R$40=AV19)*AND($R$41&lt;&gt;""),VLOOKUP($R$41,'Barèmes police'!$AI$4:$AJ$30,2),0)</f>
        <v>0</v>
      </c>
      <c r="AX19" s="16" t="str">
        <f>IF('Types de jours'!F25&lt;&gt;"",'Types de jours'!F25,"")</f>
        <v>Congé 12h</v>
      </c>
      <c r="AY19" s="144">
        <f>IF(AX19&lt;&gt;"",'Types de jours'!I25,"")</f>
        <v>0.5</v>
      </c>
      <c r="AZ19" s="269"/>
      <c r="BA19" s="154"/>
      <c r="BB19" s="154"/>
      <c r="BC19" s="154"/>
      <c r="BD19" s="154"/>
      <c r="BE19" s="154"/>
      <c r="BF19" s="154"/>
    </row>
    <row r="20" spans="1:58" ht="12.75" customHeight="1" x14ac:dyDescent="0.2">
      <c r="A20" s="34"/>
      <c r="B20" s="24" t="str">
        <f t="shared" si="0"/>
        <v>Sa</v>
      </c>
      <c r="C20" s="25">
        <f t="shared" si="22"/>
        <v>45395</v>
      </c>
      <c r="D20" s="51"/>
      <c r="E20" s="116"/>
      <c r="F20" s="52"/>
      <c r="G20" s="53"/>
      <c r="H20" s="52"/>
      <c r="I20" s="53"/>
      <c r="J20" s="54"/>
      <c r="K20" s="55"/>
      <c r="L20" s="40">
        <f t="shared" si="1"/>
        <v>0</v>
      </c>
      <c r="M20" s="41">
        <f t="shared" si="23"/>
        <v>0.31666666666666665</v>
      </c>
      <c r="N20" s="42">
        <f>IF(AND(D20&lt;&gt;"Jour libre 4/5",B20&lt;&gt;"Sa",B20&lt;&gt;"Di"),SUM(N19,Configuration!$H$41),SUM(N19))</f>
        <v>9.8166666666666611</v>
      </c>
      <c r="O20" s="49" t="str">
        <f t="shared" si="24"/>
        <v>-</v>
      </c>
      <c r="P20" s="143">
        <f t="shared" si="17"/>
        <v>9.4999999999999947</v>
      </c>
      <c r="Q20" s="167">
        <f t="shared" si="18"/>
        <v>0</v>
      </c>
      <c r="R20" s="168">
        <f t="shared" si="18"/>
        <v>0</v>
      </c>
      <c r="S20" s="168">
        <f t="shared" si="18"/>
        <v>0</v>
      </c>
      <c r="T20" s="169">
        <f t="shared" si="18"/>
        <v>0</v>
      </c>
      <c r="U20" s="97">
        <f t="shared" si="2"/>
        <v>0</v>
      </c>
      <c r="V20" s="97">
        <f t="shared" si="3"/>
        <v>0</v>
      </c>
      <c r="W20" s="97">
        <f t="shared" si="4"/>
        <v>0</v>
      </c>
      <c r="X20" s="97">
        <f t="shared" si="5"/>
        <v>0</v>
      </c>
      <c r="Y20" s="209"/>
      <c r="Z20" s="210"/>
      <c r="AA20" s="210"/>
      <c r="AB20" s="128">
        <f>IF(AND(D20="Jour férié semaine",((G20-F20)+(I20-H20)+(K20-J20)=0)),VLOOKUP(D20,Systeemgegevens!$J:$K,2,FALSE),0)</f>
        <v>0</v>
      </c>
      <c r="AC20" s="43">
        <f>IF(AND(NOT(ISERROR(FIND("Congé",D20))),ISERROR(FIND("1/2",D20)),ISERROR(FIND("Synd",D20)),ISERROR(FIND("synd",D20)),(G20-F20+I20-H20+K20-J20)=0),VLOOKUP(D20,Systeemgegevens!$J:$K,2,FALSE),IF(AND(NOT(ISERROR(FIND("1/2 Congé + ",D20))),(G20-F20+I20-H20+K20-J20)=0),VLOOKUP(D20,Systeemgegevens!$J:$K,2,FALSE)/2,IF(AND(NOT(ISERROR(FIND("1/2 Congé",D20))),ISERROR(FIND(" + ",D20)),ISERROR(FIND("1/2 Congé Synd.",D20))),VLOOKUP(D20,Systeemgegevens!$J:$K,2,FALSE),0)))</f>
        <v>0</v>
      </c>
      <c r="AD20" s="43">
        <f>IF(AND(OR(D20="1/2 Congé Synd.",D20="Congé Synd."),((G20-F20)+(I20-H20)+(K20-J20)=0)),VLOOKUP(D20,Systeemgegevens!$J:$K,2,FALSE),IF(AND(D20="1/2 Congé + 1/2 synd.",((G20-F20)+(I20-H20)+(K20-J20)=0)),AC20,0))</f>
        <v>0</v>
      </c>
      <c r="AE20" s="43">
        <f>IF(AND(D20="Jour de pont",((G20-F20)+(I20-H20)+(K20-J20)=0)),VLOOKUP(D20,Systeemgegevens!$J:$K,2,FALSE),0)</f>
        <v>0</v>
      </c>
      <c r="AF20" s="43">
        <f>IF(AND(D20="Jour libre 4/5",AND((G20-F20)+(I20-H20)+(K20-J20)=0)),VLOOKUP(D20,Systeemgegevens!$J:$K,2,FALSE),0)</f>
        <v>0</v>
      </c>
      <c r="AG20" s="118">
        <f>IF(AND(D20&lt;&gt;"",SUM(AB20:AF20)=0,D20&lt;&gt;$AB$4,D20&lt;&gt;$AC$4,D20&lt;&gt;$AE$4,D20&lt;&gt;$AF$4),VLOOKUP(D20,Systeemgegevens!$J:$K,2,FALSE),0)</f>
        <v>0</v>
      </c>
      <c r="AH20" s="119">
        <f t="shared" si="6"/>
        <v>0</v>
      </c>
      <c r="AI20" s="101">
        <f t="shared" si="7"/>
        <v>0</v>
      </c>
      <c r="AJ20" s="118">
        <f t="shared" si="19"/>
        <v>0</v>
      </c>
      <c r="AK20" s="119">
        <f t="shared" si="8"/>
        <v>0</v>
      </c>
      <c r="AL20" s="101">
        <f t="shared" si="9"/>
        <v>0</v>
      </c>
      <c r="AM20" s="43">
        <f t="shared" si="20"/>
        <v>0</v>
      </c>
      <c r="AN20" s="118">
        <f t="shared" si="21"/>
        <v>0</v>
      </c>
      <c r="AO20" s="122">
        <f t="shared" si="10"/>
        <v>0</v>
      </c>
      <c r="AP20" s="107">
        <f t="shared" si="11"/>
        <v>0</v>
      </c>
      <c r="AQ20" s="107">
        <f t="shared" si="12"/>
        <v>0</v>
      </c>
      <c r="AR20" s="123">
        <f t="shared" si="13"/>
        <v>0</v>
      </c>
      <c r="AS20" s="124">
        <f t="shared" si="14"/>
        <v>0</v>
      </c>
      <c r="AT20" s="124">
        <f t="shared" si="15"/>
        <v>0</v>
      </c>
      <c r="AU20" s="124">
        <f t="shared" si="16"/>
        <v>0</v>
      </c>
      <c r="AV20" s="117" t="s">
        <v>25</v>
      </c>
      <c r="AW20" s="129">
        <f>IF(($R$40=AV20)*AND($R$41&lt;&gt;""),VLOOKUP($R$41,'Barèmes police'!$AL$4:$AM$30,2),0)</f>
        <v>0</v>
      </c>
      <c r="AX20" s="16" t="str">
        <f>IF('Types de jours'!F26&lt;&gt;"",'Types de jours'!F26,"")</f>
        <v/>
      </c>
      <c r="AY20" s="144" t="str">
        <f>IF(AX20&lt;&gt;"",'Types de jours'!I26,"")</f>
        <v/>
      </c>
      <c r="AZ20" s="269"/>
      <c r="BA20" s="154"/>
      <c r="BB20" s="154"/>
      <c r="BC20" s="154"/>
      <c r="BD20" s="154"/>
      <c r="BE20" s="154"/>
      <c r="BF20" s="154"/>
    </row>
    <row r="21" spans="1:58" ht="12.75" customHeight="1" x14ac:dyDescent="0.2">
      <c r="A21" s="34"/>
      <c r="B21" s="24" t="str">
        <f t="shared" si="0"/>
        <v>Di</v>
      </c>
      <c r="C21" s="25">
        <f t="shared" si="22"/>
        <v>45396</v>
      </c>
      <c r="D21" s="51"/>
      <c r="E21" s="116"/>
      <c r="F21" s="52"/>
      <c r="G21" s="53"/>
      <c r="H21" s="52"/>
      <c r="I21" s="53"/>
      <c r="J21" s="54"/>
      <c r="K21" s="55"/>
      <c r="L21" s="40">
        <f t="shared" si="1"/>
        <v>0</v>
      </c>
      <c r="M21" s="41">
        <f t="shared" si="23"/>
        <v>0.31666666666666665</v>
      </c>
      <c r="N21" s="42">
        <f>IF(AND(D21&lt;&gt;"Jour libre 4/5",B21&lt;&gt;"Sa",B21&lt;&gt;"Di"),SUM(N20,Configuration!$H$41),SUM(N20))</f>
        <v>9.8166666666666611</v>
      </c>
      <c r="O21" s="49" t="str">
        <f t="shared" si="24"/>
        <v>-</v>
      </c>
      <c r="P21" s="143">
        <f t="shared" si="17"/>
        <v>9.4999999999999947</v>
      </c>
      <c r="Q21" s="167">
        <f t="shared" si="18"/>
        <v>0</v>
      </c>
      <c r="R21" s="168">
        <f t="shared" si="18"/>
        <v>0</v>
      </c>
      <c r="S21" s="168">
        <f t="shared" si="18"/>
        <v>0</v>
      </c>
      <c r="T21" s="169">
        <f t="shared" si="18"/>
        <v>0</v>
      </c>
      <c r="U21" s="97">
        <f t="shared" si="2"/>
        <v>0</v>
      </c>
      <c r="V21" s="97">
        <f t="shared" si="3"/>
        <v>0</v>
      </c>
      <c r="W21" s="97">
        <f t="shared" si="4"/>
        <v>0</v>
      </c>
      <c r="X21" s="97">
        <f t="shared" si="5"/>
        <v>0</v>
      </c>
      <c r="Y21" s="209"/>
      <c r="Z21" s="210"/>
      <c r="AA21" s="210"/>
      <c r="AB21" s="128">
        <f>IF(AND(D21="Jour férié semaine",((G21-F21)+(I21-H21)+(K21-J21)=0)),VLOOKUP(D21,Systeemgegevens!$J:$K,2,FALSE),0)</f>
        <v>0</v>
      </c>
      <c r="AC21" s="43">
        <f>IF(AND(NOT(ISERROR(FIND("Congé",D21))),ISERROR(FIND("1/2",D21)),ISERROR(FIND("Synd",D21)),ISERROR(FIND("synd",D21)),(G21-F21+I21-H21+K21-J21)=0),VLOOKUP(D21,Systeemgegevens!$J:$K,2,FALSE),IF(AND(NOT(ISERROR(FIND("1/2 Congé + ",D21))),(G21-F21+I21-H21+K21-J21)=0),VLOOKUP(D21,Systeemgegevens!$J:$K,2,FALSE)/2,IF(AND(NOT(ISERROR(FIND("1/2 Congé",D21))),ISERROR(FIND(" + ",D21)),ISERROR(FIND("1/2 Congé Synd.",D21))),VLOOKUP(D21,Systeemgegevens!$J:$K,2,FALSE),0)))</f>
        <v>0</v>
      </c>
      <c r="AD21" s="43">
        <f>IF(AND(OR(D21="1/2 Congé Synd.",D21="Congé Synd."),((G21-F21)+(I21-H21)+(K21-J21)=0)),VLOOKUP(D21,Systeemgegevens!$J:$K,2,FALSE),IF(AND(D21="1/2 Congé + 1/2 synd.",((G21-F21)+(I21-H21)+(K21-J21)=0)),AC21,0))</f>
        <v>0</v>
      </c>
      <c r="AE21" s="43">
        <f>IF(AND(D21="Jour de pont",((G21-F21)+(I21-H21)+(K21-J21)=0)),VLOOKUP(D21,Systeemgegevens!$J:$K,2,FALSE),0)</f>
        <v>0</v>
      </c>
      <c r="AF21" s="43">
        <f>IF(AND(D21="Jour libre 4/5",AND((G21-F21)+(I21-H21)+(K21-J21)=0)),VLOOKUP(D21,Systeemgegevens!$J:$K,2,FALSE),0)</f>
        <v>0</v>
      </c>
      <c r="AG21" s="118">
        <f>IF(AND(D21&lt;&gt;"",SUM(AB21:AF21)=0,D21&lt;&gt;$AB$4,D21&lt;&gt;$AC$4,D21&lt;&gt;$AE$4,D21&lt;&gt;$AF$4),VLOOKUP(D21,Systeemgegevens!$J:$K,2,FALSE),0)</f>
        <v>0</v>
      </c>
      <c r="AH21" s="119">
        <f t="shared" si="6"/>
        <v>0</v>
      </c>
      <c r="AI21" s="101">
        <f t="shared" si="7"/>
        <v>0</v>
      </c>
      <c r="AJ21" s="118">
        <f t="shared" si="19"/>
        <v>0</v>
      </c>
      <c r="AK21" s="119">
        <f t="shared" si="8"/>
        <v>0</v>
      </c>
      <c r="AL21" s="101">
        <f t="shared" si="9"/>
        <v>0</v>
      </c>
      <c r="AM21" s="43">
        <f t="shared" si="20"/>
        <v>0</v>
      </c>
      <c r="AN21" s="118">
        <f t="shared" si="21"/>
        <v>0</v>
      </c>
      <c r="AO21" s="122">
        <f t="shared" si="10"/>
        <v>0</v>
      </c>
      <c r="AP21" s="107">
        <f t="shared" si="11"/>
        <v>0</v>
      </c>
      <c r="AQ21" s="107">
        <f t="shared" si="12"/>
        <v>0</v>
      </c>
      <c r="AR21" s="123">
        <f t="shared" si="13"/>
        <v>0</v>
      </c>
      <c r="AS21" s="124">
        <f t="shared" si="14"/>
        <v>0</v>
      </c>
      <c r="AT21" s="124">
        <f t="shared" si="15"/>
        <v>0</v>
      </c>
      <c r="AU21" s="124">
        <f t="shared" si="16"/>
        <v>0</v>
      </c>
      <c r="AV21" s="117" t="s">
        <v>24</v>
      </c>
      <c r="AW21" s="129">
        <f>IF(($R$40=AV21)*AND($R$41&lt;&gt;""),VLOOKUP($R$41,'Barèmes police'!$AO$4:$AP$30,2),0)</f>
        <v>0</v>
      </c>
      <c r="AX21" s="16" t="str">
        <f>IF('Types de jours'!F27&lt;&gt;"",'Types de jours'!F27,"")</f>
        <v/>
      </c>
      <c r="AY21" s="144" t="str">
        <f>IF(AX21&lt;&gt;"",'Types de jours'!I27,"")</f>
        <v/>
      </c>
      <c r="AZ21" s="269"/>
      <c r="BA21" s="154"/>
      <c r="BB21" s="154"/>
      <c r="BC21" s="154"/>
      <c r="BD21" s="154"/>
      <c r="BE21" s="154"/>
      <c r="BF21" s="154"/>
    </row>
    <row r="22" spans="1:58" ht="12.75" customHeight="1" x14ac:dyDescent="0.2">
      <c r="A22" s="34"/>
      <c r="B22" s="24" t="str">
        <f t="shared" si="0"/>
        <v>Lu</v>
      </c>
      <c r="C22" s="25">
        <f t="shared" si="22"/>
        <v>45397</v>
      </c>
      <c r="D22" s="51"/>
      <c r="E22" s="116"/>
      <c r="F22" s="52"/>
      <c r="G22" s="53"/>
      <c r="H22" s="52"/>
      <c r="I22" s="53"/>
      <c r="J22" s="54"/>
      <c r="K22" s="55"/>
      <c r="L22" s="40">
        <f t="shared" si="1"/>
        <v>0</v>
      </c>
      <c r="M22" s="41">
        <f t="shared" si="23"/>
        <v>0.31666666666666665</v>
      </c>
      <c r="N22" s="42">
        <f>IF(AND(D22&lt;&gt;"Jour libre 4/5",B22&lt;&gt;"Sa",B22&lt;&gt;"Di"),SUM(N21,Configuration!$H$41),SUM(N21))</f>
        <v>10.133333333333328</v>
      </c>
      <c r="O22" s="49" t="str">
        <f t="shared" si="24"/>
        <v>-</v>
      </c>
      <c r="P22" s="143">
        <f t="shared" si="17"/>
        <v>9.8166666666666611</v>
      </c>
      <c r="Q22" s="167">
        <f t="shared" si="18"/>
        <v>0</v>
      </c>
      <c r="R22" s="168">
        <f t="shared" si="18"/>
        <v>0</v>
      </c>
      <c r="S22" s="168">
        <f t="shared" si="18"/>
        <v>0</v>
      </c>
      <c r="T22" s="169">
        <f t="shared" si="18"/>
        <v>0</v>
      </c>
      <c r="U22" s="97">
        <f t="shared" si="2"/>
        <v>0</v>
      </c>
      <c r="V22" s="97">
        <f t="shared" si="3"/>
        <v>0</v>
      </c>
      <c r="W22" s="97">
        <f t="shared" si="4"/>
        <v>0</v>
      </c>
      <c r="X22" s="97">
        <f t="shared" si="5"/>
        <v>0</v>
      </c>
      <c r="Y22" s="209"/>
      <c r="Z22" s="210"/>
      <c r="AA22" s="210"/>
      <c r="AB22" s="128">
        <f>IF(AND(D22="Jour férié semaine",((G22-F22)+(I22-H22)+(K22-J22)=0)),VLOOKUP(D22,Systeemgegevens!$J:$K,2,FALSE),0)</f>
        <v>0</v>
      </c>
      <c r="AC22" s="43">
        <f>IF(AND(NOT(ISERROR(FIND("Congé",D22))),ISERROR(FIND("1/2",D22)),ISERROR(FIND("Synd",D22)),ISERROR(FIND("synd",D22)),(G22-F22+I22-H22+K22-J22)=0),VLOOKUP(D22,Systeemgegevens!$J:$K,2,FALSE),IF(AND(NOT(ISERROR(FIND("1/2 Congé + ",D22))),(G22-F22+I22-H22+K22-J22)=0),VLOOKUP(D22,Systeemgegevens!$J:$K,2,FALSE)/2,IF(AND(NOT(ISERROR(FIND("1/2 Congé",D22))),ISERROR(FIND(" + ",D22)),ISERROR(FIND("1/2 Congé Synd.",D22))),VLOOKUP(D22,Systeemgegevens!$J:$K,2,FALSE),0)))</f>
        <v>0</v>
      </c>
      <c r="AD22" s="43">
        <f>IF(AND(OR(D22="1/2 Congé Synd.",D22="Congé Synd."),((G22-F22)+(I22-H22)+(K22-J22)=0)),VLOOKUP(D22,Systeemgegevens!$J:$K,2,FALSE),IF(AND(D22="1/2 Congé + 1/2 synd.",((G22-F22)+(I22-H22)+(K22-J22)=0)),AC22,0))</f>
        <v>0</v>
      </c>
      <c r="AE22" s="43">
        <f>IF(AND(D22="Jour de pont",((G22-F22)+(I22-H22)+(K22-J22)=0)),VLOOKUP(D22,Systeemgegevens!$J:$K,2,FALSE),0)</f>
        <v>0</v>
      </c>
      <c r="AF22" s="43">
        <f>IF(AND(D22="Jour libre 4/5",AND((G22-F22)+(I22-H22)+(K22-J22)=0)),VLOOKUP(D22,Systeemgegevens!$J:$K,2,FALSE),0)</f>
        <v>0</v>
      </c>
      <c r="AG22" s="118">
        <f>IF(AND(D22&lt;&gt;"",SUM(AB22:AF22)=0,D22&lt;&gt;$AB$4,D22&lt;&gt;$AC$4,D22&lt;&gt;$AE$4,D22&lt;&gt;$AF$4),VLOOKUP(D22,Systeemgegevens!$J:$K,2,FALSE),0)</f>
        <v>0</v>
      </c>
      <c r="AH22" s="119">
        <f t="shared" si="6"/>
        <v>0</v>
      </c>
      <c r="AI22" s="101">
        <f t="shared" si="7"/>
        <v>0</v>
      </c>
      <c r="AJ22" s="118">
        <f t="shared" si="19"/>
        <v>0</v>
      </c>
      <c r="AK22" s="119">
        <f t="shared" si="8"/>
        <v>0</v>
      </c>
      <c r="AL22" s="101">
        <f t="shared" si="9"/>
        <v>0</v>
      </c>
      <c r="AM22" s="43">
        <f t="shared" si="20"/>
        <v>0</v>
      </c>
      <c r="AN22" s="118">
        <f t="shared" si="21"/>
        <v>0</v>
      </c>
      <c r="AO22" s="122">
        <f t="shared" si="10"/>
        <v>0</v>
      </c>
      <c r="AP22" s="107">
        <f t="shared" si="11"/>
        <v>0</v>
      </c>
      <c r="AQ22" s="107">
        <f t="shared" si="12"/>
        <v>0</v>
      </c>
      <c r="AR22" s="123">
        <f t="shared" si="13"/>
        <v>0</v>
      </c>
      <c r="AS22" s="124">
        <f t="shared" si="14"/>
        <v>0</v>
      </c>
      <c r="AT22" s="124">
        <f t="shared" si="15"/>
        <v>0</v>
      </c>
      <c r="AU22" s="124">
        <f t="shared" si="16"/>
        <v>0</v>
      </c>
      <c r="AV22" s="117" t="s">
        <v>23</v>
      </c>
      <c r="AW22" s="129">
        <f>IF(($R$40=AV22)*AND($R$41&lt;&gt;""),VLOOKUP($R$41,'Barèmes police'!$AR$4:$AS$30,2),0)</f>
        <v>0</v>
      </c>
      <c r="AX22" s="16" t="str">
        <f>IF('Types de jours'!F28&lt;&gt;"",'Types de jours'!F28,"")</f>
        <v/>
      </c>
      <c r="AY22" s="144" t="str">
        <f>IF(AX22&lt;&gt;"",'Types de jours'!I28,"")</f>
        <v/>
      </c>
      <c r="AZ22" s="269"/>
      <c r="BA22" s="154"/>
      <c r="BB22" s="154"/>
      <c r="BC22" s="154"/>
      <c r="BD22" s="154"/>
      <c r="BE22" s="154"/>
      <c r="BF22" s="154"/>
    </row>
    <row r="23" spans="1:58" ht="12.75" customHeight="1" x14ac:dyDescent="0.2">
      <c r="A23" s="34"/>
      <c r="B23" s="24" t="str">
        <f t="shared" si="0"/>
        <v>Ma</v>
      </c>
      <c r="C23" s="25">
        <f t="shared" si="22"/>
        <v>45398</v>
      </c>
      <c r="D23" s="51"/>
      <c r="E23" s="116"/>
      <c r="F23" s="52"/>
      <c r="G23" s="53"/>
      <c r="H23" s="52"/>
      <c r="I23" s="53"/>
      <c r="J23" s="54"/>
      <c r="K23" s="55"/>
      <c r="L23" s="40">
        <f t="shared" si="1"/>
        <v>0</v>
      </c>
      <c r="M23" s="41">
        <f t="shared" si="23"/>
        <v>0.31666666666666665</v>
      </c>
      <c r="N23" s="42">
        <f>IF(AND(D23&lt;&gt;"Jour libre 4/5",B23&lt;&gt;"Sa",B23&lt;&gt;"Di"),SUM(N22,Configuration!$H$41),SUM(N22))</f>
        <v>10.449999999999994</v>
      </c>
      <c r="O23" s="49" t="str">
        <f t="shared" si="24"/>
        <v>-</v>
      </c>
      <c r="P23" s="143">
        <f t="shared" si="17"/>
        <v>10.133333333333328</v>
      </c>
      <c r="Q23" s="167">
        <f t="shared" si="18"/>
        <v>0</v>
      </c>
      <c r="R23" s="168">
        <f t="shared" si="18"/>
        <v>0</v>
      </c>
      <c r="S23" s="168">
        <f t="shared" si="18"/>
        <v>0</v>
      </c>
      <c r="T23" s="169">
        <f t="shared" si="18"/>
        <v>0</v>
      </c>
      <c r="U23" s="97">
        <f t="shared" si="2"/>
        <v>0</v>
      </c>
      <c r="V23" s="97">
        <f t="shared" si="3"/>
        <v>0</v>
      </c>
      <c r="W23" s="97">
        <f t="shared" si="4"/>
        <v>0</v>
      </c>
      <c r="X23" s="97">
        <f t="shared" si="5"/>
        <v>0</v>
      </c>
      <c r="Y23" s="209"/>
      <c r="Z23" s="210"/>
      <c r="AA23" s="210"/>
      <c r="AB23" s="128">
        <f>IF(AND(D23="Jour férié semaine",((G23-F23)+(I23-H23)+(K23-J23)=0)),VLOOKUP(D23,Systeemgegevens!$J:$K,2,FALSE),0)</f>
        <v>0</v>
      </c>
      <c r="AC23" s="43">
        <f>IF(AND(NOT(ISERROR(FIND("Congé",D23))),ISERROR(FIND("1/2",D23)),ISERROR(FIND("Synd",D23)),ISERROR(FIND("synd",D23)),(G23-F23+I23-H23+K23-J23)=0),VLOOKUP(D23,Systeemgegevens!$J:$K,2,FALSE),IF(AND(NOT(ISERROR(FIND("1/2 Congé + ",D23))),(G23-F23+I23-H23+K23-J23)=0),VLOOKUP(D23,Systeemgegevens!$J:$K,2,FALSE)/2,IF(AND(NOT(ISERROR(FIND("1/2 Congé",D23))),ISERROR(FIND(" + ",D23)),ISERROR(FIND("1/2 Congé Synd.",D23))),VLOOKUP(D23,Systeemgegevens!$J:$K,2,FALSE),0)))</f>
        <v>0</v>
      </c>
      <c r="AD23" s="43">
        <f>IF(AND(OR(D23="1/2 Congé Synd.",D23="Congé Synd."),((G23-F23)+(I23-H23)+(K23-J23)=0)),VLOOKUP(D23,Systeemgegevens!$J:$K,2,FALSE),IF(AND(D23="1/2 Congé + 1/2 synd.",((G23-F23)+(I23-H23)+(K23-J23)=0)),AC23,0))</f>
        <v>0</v>
      </c>
      <c r="AE23" s="43">
        <f>IF(AND(D23="Jour de pont",((G23-F23)+(I23-H23)+(K23-J23)=0)),VLOOKUP(D23,Systeemgegevens!$J:$K,2,FALSE),0)</f>
        <v>0</v>
      </c>
      <c r="AF23" s="43">
        <f>IF(AND(D23="Jour libre 4/5",AND((G23-F23)+(I23-H23)+(K23-J23)=0)),VLOOKUP(D23,Systeemgegevens!$J:$K,2,FALSE),0)</f>
        <v>0</v>
      </c>
      <c r="AG23" s="118">
        <f>IF(AND(D23&lt;&gt;"",SUM(AB23:AF23)=0,D23&lt;&gt;$AB$4,D23&lt;&gt;$AC$4,D23&lt;&gt;$AE$4,D23&lt;&gt;$AF$4),VLOOKUP(D23,Systeemgegevens!$J:$K,2,FALSE),0)</f>
        <v>0</v>
      </c>
      <c r="AH23" s="119">
        <f t="shared" si="6"/>
        <v>0</v>
      </c>
      <c r="AI23" s="101">
        <f t="shared" si="7"/>
        <v>0</v>
      </c>
      <c r="AJ23" s="118">
        <f t="shared" si="19"/>
        <v>0</v>
      </c>
      <c r="AK23" s="119">
        <f t="shared" si="8"/>
        <v>0</v>
      </c>
      <c r="AL23" s="101">
        <f t="shared" si="9"/>
        <v>0</v>
      </c>
      <c r="AM23" s="43">
        <f t="shared" si="20"/>
        <v>0</v>
      </c>
      <c r="AN23" s="118">
        <f t="shared" si="21"/>
        <v>0</v>
      </c>
      <c r="AO23" s="122">
        <f t="shared" si="10"/>
        <v>0</v>
      </c>
      <c r="AP23" s="107">
        <f t="shared" si="11"/>
        <v>0</v>
      </c>
      <c r="AQ23" s="107">
        <f t="shared" si="12"/>
        <v>0</v>
      </c>
      <c r="AR23" s="123">
        <f t="shared" si="13"/>
        <v>0</v>
      </c>
      <c r="AS23" s="124">
        <f t="shared" si="14"/>
        <v>0</v>
      </c>
      <c r="AT23" s="124">
        <f t="shared" si="15"/>
        <v>0</v>
      </c>
      <c r="AU23" s="124">
        <f t="shared" si="16"/>
        <v>0</v>
      </c>
      <c r="AV23" s="117" t="s">
        <v>22</v>
      </c>
      <c r="AW23" s="129">
        <f>IF(($R$40=AV23)*AND($R$41&lt;&gt;""),VLOOKUP($R$41,'Barèmes police'!$AU$4:$AV$34,2),0)</f>
        <v>0</v>
      </c>
      <c r="AX23" s="16" t="str">
        <f>IF('Types de jours'!F29&lt;&gt;"",'Types de jours'!F29,"")</f>
        <v/>
      </c>
      <c r="AY23" s="144" t="str">
        <f>IF(AX23&lt;&gt;"",'Types de jours'!I29,"")</f>
        <v/>
      </c>
      <c r="AZ23" s="269"/>
      <c r="BA23" s="154"/>
      <c r="BB23" s="154"/>
      <c r="BC23" s="154"/>
      <c r="BD23" s="154"/>
      <c r="BE23" s="154"/>
      <c r="BF23" s="154"/>
    </row>
    <row r="24" spans="1:58" ht="12.75" customHeight="1" x14ac:dyDescent="0.2">
      <c r="A24" s="34"/>
      <c r="B24" s="24" t="str">
        <f t="shared" si="0"/>
        <v>Me</v>
      </c>
      <c r="C24" s="25">
        <f t="shared" si="22"/>
        <v>45399</v>
      </c>
      <c r="D24" s="51"/>
      <c r="E24" s="116"/>
      <c r="F24" s="52"/>
      <c r="G24" s="53"/>
      <c r="H24" s="52"/>
      <c r="I24" s="53"/>
      <c r="J24" s="54"/>
      <c r="K24" s="55"/>
      <c r="L24" s="40">
        <f t="shared" si="1"/>
        <v>0</v>
      </c>
      <c r="M24" s="41">
        <f t="shared" si="23"/>
        <v>0.31666666666666665</v>
      </c>
      <c r="N24" s="42">
        <f>IF(AND(D24&lt;&gt;"Jour libre 4/5",B24&lt;&gt;"Sa",B24&lt;&gt;"Di"),SUM(N23,Configuration!$H$41),SUM(N23))</f>
        <v>10.76666666666666</v>
      </c>
      <c r="O24" s="49" t="str">
        <f t="shared" si="24"/>
        <v>-</v>
      </c>
      <c r="P24" s="143">
        <f t="shared" si="17"/>
        <v>10.449999999999994</v>
      </c>
      <c r="Q24" s="167">
        <f t="shared" si="18"/>
        <v>0</v>
      </c>
      <c r="R24" s="168">
        <f t="shared" si="18"/>
        <v>0</v>
      </c>
      <c r="S24" s="168">
        <f t="shared" si="18"/>
        <v>0</v>
      </c>
      <c r="T24" s="169">
        <f t="shared" si="18"/>
        <v>0</v>
      </c>
      <c r="U24" s="97">
        <f t="shared" si="2"/>
        <v>0</v>
      </c>
      <c r="V24" s="97">
        <f t="shared" si="3"/>
        <v>0</v>
      </c>
      <c r="W24" s="97">
        <f t="shared" si="4"/>
        <v>0</v>
      </c>
      <c r="X24" s="97">
        <f t="shared" si="5"/>
        <v>0</v>
      </c>
      <c r="Y24" s="209"/>
      <c r="Z24" s="210"/>
      <c r="AA24" s="210"/>
      <c r="AB24" s="128">
        <f>IF(AND(D24="Jour férié semaine",((G24-F24)+(I24-H24)+(K24-J24)=0)),VLOOKUP(D24,Systeemgegevens!$J:$K,2,FALSE),0)</f>
        <v>0</v>
      </c>
      <c r="AC24" s="43">
        <f>IF(AND(NOT(ISERROR(FIND("Congé",D24))),ISERROR(FIND("1/2",D24)),ISERROR(FIND("Synd",D24)),ISERROR(FIND("synd",D24)),(G24-F24+I24-H24+K24-J24)=0),VLOOKUP(D24,Systeemgegevens!$J:$K,2,FALSE),IF(AND(NOT(ISERROR(FIND("1/2 Congé + ",D24))),(G24-F24+I24-H24+K24-J24)=0),VLOOKUP(D24,Systeemgegevens!$J:$K,2,FALSE)/2,IF(AND(NOT(ISERROR(FIND("1/2 Congé",D24))),ISERROR(FIND(" + ",D24)),ISERROR(FIND("1/2 Congé Synd.",D24))),VLOOKUP(D24,Systeemgegevens!$J:$K,2,FALSE),0)))</f>
        <v>0</v>
      </c>
      <c r="AD24" s="43">
        <f>IF(AND(OR(D24="1/2 Congé Synd.",D24="Congé Synd."),((G24-F24)+(I24-H24)+(K24-J24)=0)),VLOOKUP(D24,Systeemgegevens!$J:$K,2,FALSE),IF(AND(D24="1/2 Congé + 1/2 synd.",((G24-F24)+(I24-H24)+(K24-J24)=0)),AC24,0))</f>
        <v>0</v>
      </c>
      <c r="AE24" s="43">
        <f>IF(AND(D24="Jour de pont",((G24-F24)+(I24-H24)+(K24-J24)=0)),VLOOKUP(D24,Systeemgegevens!$J:$K,2,FALSE),0)</f>
        <v>0</v>
      </c>
      <c r="AF24" s="43">
        <f>IF(AND(D24="Jour libre 4/5",AND((G24-F24)+(I24-H24)+(K24-J24)=0)),VLOOKUP(D24,Systeemgegevens!$J:$K,2,FALSE),0)</f>
        <v>0</v>
      </c>
      <c r="AG24" s="118">
        <f>IF(AND(D24&lt;&gt;"",SUM(AB24:AF24)=0,D24&lt;&gt;$AB$4,D24&lt;&gt;$AC$4,D24&lt;&gt;$AE$4,D24&lt;&gt;$AF$4),VLOOKUP(D24,Systeemgegevens!$J:$K,2,FALSE),0)</f>
        <v>0</v>
      </c>
      <c r="AH24" s="119">
        <f t="shared" si="6"/>
        <v>0</v>
      </c>
      <c r="AI24" s="101">
        <f t="shared" si="7"/>
        <v>0</v>
      </c>
      <c r="AJ24" s="118">
        <f t="shared" si="19"/>
        <v>0</v>
      </c>
      <c r="AK24" s="119">
        <f t="shared" si="8"/>
        <v>0</v>
      </c>
      <c r="AL24" s="101">
        <f t="shared" si="9"/>
        <v>0</v>
      </c>
      <c r="AM24" s="43">
        <f t="shared" si="20"/>
        <v>0</v>
      </c>
      <c r="AN24" s="118">
        <f t="shared" si="21"/>
        <v>0</v>
      </c>
      <c r="AO24" s="122">
        <f t="shared" si="10"/>
        <v>0</v>
      </c>
      <c r="AP24" s="107">
        <f t="shared" si="11"/>
        <v>0</v>
      </c>
      <c r="AQ24" s="107">
        <f t="shared" si="12"/>
        <v>0</v>
      </c>
      <c r="AR24" s="123">
        <f t="shared" si="13"/>
        <v>0</v>
      </c>
      <c r="AS24" s="124">
        <f t="shared" si="14"/>
        <v>0</v>
      </c>
      <c r="AT24" s="124">
        <f t="shared" si="15"/>
        <v>0</v>
      </c>
      <c r="AU24" s="124">
        <f t="shared" si="16"/>
        <v>0</v>
      </c>
      <c r="AV24" s="117" t="s">
        <v>21</v>
      </c>
      <c r="AW24" s="129">
        <f>IF(($R$40=AV24)*AND($R$41&lt;&gt;""),VLOOKUP($R$41,'Barèmes police'!$AX$4:$AY$30,2),0)</f>
        <v>0</v>
      </c>
      <c r="AX24" s="16" t="str">
        <f>IF('Types de jours'!F30&lt;&gt;"",'Types de jours'!F30,"")</f>
        <v/>
      </c>
      <c r="AY24" s="144" t="str">
        <f>IF(AX24&lt;&gt;"",'Types de jours'!I30,"")</f>
        <v/>
      </c>
      <c r="AZ24" s="269"/>
      <c r="BA24" s="154"/>
      <c r="BB24" s="154"/>
      <c r="BC24" s="154"/>
      <c r="BD24" s="154"/>
      <c r="BE24" s="154"/>
      <c r="BF24" s="154"/>
    </row>
    <row r="25" spans="1:58" ht="12.75" customHeight="1" x14ac:dyDescent="0.2">
      <c r="A25" s="34"/>
      <c r="B25" s="24" t="str">
        <f t="shared" si="0"/>
        <v>Je</v>
      </c>
      <c r="C25" s="25">
        <f t="shared" si="22"/>
        <v>45400</v>
      </c>
      <c r="D25" s="51"/>
      <c r="E25" s="116"/>
      <c r="F25" s="52"/>
      <c r="G25" s="53"/>
      <c r="H25" s="52"/>
      <c r="I25" s="53"/>
      <c r="J25" s="54"/>
      <c r="K25" s="55"/>
      <c r="L25" s="40">
        <f t="shared" si="1"/>
        <v>0</v>
      </c>
      <c r="M25" s="41">
        <f t="shared" si="23"/>
        <v>0.31666666666666665</v>
      </c>
      <c r="N25" s="42">
        <f>IF(AND(D25&lt;&gt;"Jour libre 4/5",B25&lt;&gt;"Sa",B25&lt;&gt;"Di"),SUM(N24,Configuration!$H$41),SUM(N24))</f>
        <v>11.083333333333327</v>
      </c>
      <c r="O25" s="49" t="str">
        <f t="shared" si="24"/>
        <v>-</v>
      </c>
      <c r="P25" s="143">
        <f t="shared" si="17"/>
        <v>10.76666666666666</v>
      </c>
      <c r="Q25" s="167">
        <f t="shared" si="18"/>
        <v>0</v>
      </c>
      <c r="R25" s="168">
        <f t="shared" si="18"/>
        <v>0</v>
      </c>
      <c r="S25" s="168">
        <f t="shared" si="18"/>
        <v>0</v>
      </c>
      <c r="T25" s="169">
        <f t="shared" si="18"/>
        <v>0</v>
      </c>
      <c r="U25" s="97">
        <f t="shared" si="2"/>
        <v>0</v>
      </c>
      <c r="V25" s="97">
        <f t="shared" si="3"/>
        <v>0</v>
      </c>
      <c r="W25" s="97">
        <f t="shared" si="4"/>
        <v>0</v>
      </c>
      <c r="X25" s="97">
        <f t="shared" si="5"/>
        <v>0</v>
      </c>
      <c r="Y25" s="209"/>
      <c r="Z25" s="210"/>
      <c r="AA25" s="210"/>
      <c r="AB25" s="128">
        <f>IF(AND(D25="Jour férié semaine",((G25-F25)+(I25-H25)+(K25-J25)=0)),VLOOKUP(D25,Systeemgegevens!$J:$K,2,FALSE),0)</f>
        <v>0</v>
      </c>
      <c r="AC25" s="43">
        <f>IF(AND(NOT(ISERROR(FIND("Congé",D25))),ISERROR(FIND("1/2",D25)),ISERROR(FIND("Synd",D25)),ISERROR(FIND("synd",D25)),(G25-F25+I25-H25+K25-J25)=0),VLOOKUP(D25,Systeemgegevens!$J:$K,2,FALSE),IF(AND(NOT(ISERROR(FIND("1/2 Congé + ",D25))),(G25-F25+I25-H25+K25-J25)=0),VLOOKUP(D25,Systeemgegevens!$J:$K,2,FALSE)/2,IF(AND(NOT(ISERROR(FIND("1/2 Congé",D25))),ISERROR(FIND(" + ",D25)),ISERROR(FIND("1/2 Congé Synd.",D25))),VLOOKUP(D25,Systeemgegevens!$J:$K,2,FALSE),0)))</f>
        <v>0</v>
      </c>
      <c r="AD25" s="43">
        <f>IF(AND(OR(D25="1/2 Congé Synd.",D25="Congé Synd."),((G25-F25)+(I25-H25)+(K25-J25)=0)),VLOOKUP(D25,Systeemgegevens!$J:$K,2,FALSE),IF(AND(D25="1/2 Congé + 1/2 synd.",((G25-F25)+(I25-H25)+(K25-J25)=0)),AC25,0))</f>
        <v>0</v>
      </c>
      <c r="AE25" s="43">
        <f>IF(AND(D25="Jour de pont",((G25-F25)+(I25-H25)+(K25-J25)=0)),VLOOKUP(D25,Systeemgegevens!$J:$K,2,FALSE),0)</f>
        <v>0</v>
      </c>
      <c r="AF25" s="43">
        <f>IF(AND(D25="Jour libre 4/5",AND((G25-F25)+(I25-H25)+(K25-J25)=0)),VLOOKUP(D25,Systeemgegevens!$J:$K,2,FALSE),0)</f>
        <v>0</v>
      </c>
      <c r="AG25" s="118">
        <f>IF(AND(D25&lt;&gt;"",SUM(AB25:AF25)=0,D25&lt;&gt;$AB$4,D25&lt;&gt;$AC$4,D25&lt;&gt;$AE$4,D25&lt;&gt;$AF$4),VLOOKUP(D25,Systeemgegevens!$J:$K,2,FALSE),0)</f>
        <v>0</v>
      </c>
      <c r="AH25" s="119">
        <f t="shared" si="6"/>
        <v>0</v>
      </c>
      <c r="AI25" s="101">
        <f t="shared" si="7"/>
        <v>0</v>
      </c>
      <c r="AJ25" s="118">
        <f t="shared" si="19"/>
        <v>0</v>
      </c>
      <c r="AK25" s="119">
        <f t="shared" si="8"/>
        <v>0</v>
      </c>
      <c r="AL25" s="101">
        <f t="shared" si="9"/>
        <v>0</v>
      </c>
      <c r="AM25" s="43">
        <f t="shared" si="20"/>
        <v>0</v>
      </c>
      <c r="AN25" s="118">
        <f t="shared" si="21"/>
        <v>0</v>
      </c>
      <c r="AO25" s="122">
        <f t="shared" si="10"/>
        <v>0</v>
      </c>
      <c r="AP25" s="107">
        <f t="shared" si="11"/>
        <v>0</v>
      </c>
      <c r="AQ25" s="107">
        <f t="shared" si="12"/>
        <v>0</v>
      </c>
      <c r="AR25" s="123">
        <f t="shared" si="13"/>
        <v>0</v>
      </c>
      <c r="AS25" s="124">
        <f t="shared" si="14"/>
        <v>0</v>
      </c>
      <c r="AT25" s="124">
        <f t="shared" si="15"/>
        <v>0</v>
      </c>
      <c r="AU25" s="124">
        <f t="shared" si="16"/>
        <v>0</v>
      </c>
      <c r="AV25" s="117" t="s">
        <v>20</v>
      </c>
      <c r="AW25" s="129">
        <f>IF(($R$40=AV25)*AND($R$41&lt;&gt;""),VLOOKUP($R$41,'Barèmes police'!$BA$4:$BB$34,2),0)</f>
        <v>0</v>
      </c>
      <c r="AX25" s="16" t="str">
        <f>IF('Types de jours'!F31&lt;&gt;"",'Types de jours'!F31,"")</f>
        <v/>
      </c>
      <c r="AY25" s="144" t="str">
        <f>IF(AX25&lt;&gt;"",'Types de jours'!I31,"")</f>
        <v/>
      </c>
      <c r="AZ25" s="269"/>
      <c r="BA25" s="154"/>
      <c r="BB25" s="154"/>
      <c r="BC25" s="154"/>
      <c r="BD25" s="154"/>
      <c r="BE25" s="154"/>
      <c r="BF25" s="154"/>
    </row>
    <row r="26" spans="1:58" ht="12.75" customHeight="1" x14ac:dyDescent="0.2">
      <c r="A26" s="34"/>
      <c r="B26" s="24" t="str">
        <f t="shared" si="0"/>
        <v>Ve</v>
      </c>
      <c r="C26" s="25">
        <f t="shared" si="22"/>
        <v>45401</v>
      </c>
      <c r="D26" s="51"/>
      <c r="E26" s="116"/>
      <c r="F26" s="52"/>
      <c r="G26" s="53"/>
      <c r="H26" s="54"/>
      <c r="I26" s="55"/>
      <c r="J26" s="54"/>
      <c r="K26" s="55"/>
      <c r="L26" s="40">
        <f t="shared" si="1"/>
        <v>0</v>
      </c>
      <c r="M26" s="41">
        <f t="shared" si="23"/>
        <v>0.31666666666666665</v>
      </c>
      <c r="N26" s="42">
        <f>IF(AND(D26&lt;&gt;"Jour libre 4/5",B26&lt;&gt;"Sa",B26&lt;&gt;"Di"),SUM(N25,Configuration!$H$41),SUM(N25))</f>
        <v>11.399999999999993</v>
      </c>
      <c r="O26" s="49" t="str">
        <f t="shared" si="24"/>
        <v>-</v>
      </c>
      <c r="P26" s="143">
        <f t="shared" si="17"/>
        <v>11.083333333333327</v>
      </c>
      <c r="Q26" s="167">
        <f t="shared" si="18"/>
        <v>0</v>
      </c>
      <c r="R26" s="168">
        <f t="shared" si="18"/>
        <v>0</v>
      </c>
      <c r="S26" s="168">
        <f t="shared" si="18"/>
        <v>0</v>
      </c>
      <c r="T26" s="169">
        <f t="shared" si="18"/>
        <v>0</v>
      </c>
      <c r="U26" s="97">
        <f t="shared" si="2"/>
        <v>0</v>
      </c>
      <c r="V26" s="97">
        <f t="shared" si="3"/>
        <v>0</v>
      </c>
      <c r="W26" s="97">
        <f t="shared" si="4"/>
        <v>0</v>
      </c>
      <c r="X26" s="97">
        <f t="shared" si="5"/>
        <v>0</v>
      </c>
      <c r="Y26" s="209"/>
      <c r="Z26" s="210"/>
      <c r="AA26" s="210"/>
      <c r="AB26" s="128">
        <f>IF(AND(D26="Jour férié semaine",((G26-F26)+(I26-H26)+(K26-J26)=0)),VLOOKUP(D26,Systeemgegevens!$J:$K,2,FALSE),0)</f>
        <v>0</v>
      </c>
      <c r="AC26" s="43">
        <f>IF(AND(NOT(ISERROR(FIND("Congé",D26))),ISERROR(FIND("1/2",D26)),ISERROR(FIND("Synd",D26)),ISERROR(FIND("synd",D26)),(G26-F26+I26-H26+K26-J26)=0),VLOOKUP(D26,Systeemgegevens!$J:$K,2,FALSE),IF(AND(NOT(ISERROR(FIND("1/2 Congé + ",D26))),(G26-F26+I26-H26+K26-J26)=0),VLOOKUP(D26,Systeemgegevens!$J:$K,2,FALSE)/2,IF(AND(NOT(ISERROR(FIND("1/2 Congé",D26))),ISERROR(FIND(" + ",D26)),ISERROR(FIND("1/2 Congé Synd.",D26))),VLOOKUP(D26,Systeemgegevens!$J:$K,2,FALSE),0)))</f>
        <v>0</v>
      </c>
      <c r="AD26" s="43">
        <f>IF(AND(OR(D26="1/2 Congé Synd.",D26="Congé Synd."),((G26-F26)+(I26-H26)+(K26-J26)=0)),VLOOKUP(D26,Systeemgegevens!$J:$K,2,FALSE),IF(AND(D26="1/2 Congé + 1/2 synd.",((G26-F26)+(I26-H26)+(K26-J26)=0)),AC26,0))</f>
        <v>0</v>
      </c>
      <c r="AE26" s="43">
        <f>IF(AND(D26="Jour de pont",((G26-F26)+(I26-H26)+(K26-J26)=0)),VLOOKUP(D26,Systeemgegevens!$J:$K,2,FALSE),0)</f>
        <v>0</v>
      </c>
      <c r="AF26" s="43">
        <f>IF(AND(D26="Jour libre 4/5",AND((G26-F26)+(I26-H26)+(K26-J26)=0)),VLOOKUP(D26,Systeemgegevens!$J:$K,2,FALSE),0)</f>
        <v>0</v>
      </c>
      <c r="AG26" s="118">
        <f>IF(AND(D26&lt;&gt;"",SUM(AB26:AF26)=0,D26&lt;&gt;$AB$4,D26&lt;&gt;$AC$4,D26&lt;&gt;$AE$4,D26&lt;&gt;$AF$4),VLOOKUP(D26,Systeemgegevens!$J:$K,2,FALSE),0)</f>
        <v>0</v>
      </c>
      <c r="AH26" s="119">
        <f t="shared" si="6"/>
        <v>0</v>
      </c>
      <c r="AI26" s="101">
        <f t="shared" si="7"/>
        <v>0</v>
      </c>
      <c r="AJ26" s="118">
        <f t="shared" si="19"/>
        <v>0</v>
      </c>
      <c r="AK26" s="119">
        <f t="shared" si="8"/>
        <v>0</v>
      </c>
      <c r="AL26" s="101">
        <f t="shared" si="9"/>
        <v>0</v>
      </c>
      <c r="AM26" s="43">
        <f t="shared" si="20"/>
        <v>0</v>
      </c>
      <c r="AN26" s="118">
        <f t="shared" si="21"/>
        <v>0</v>
      </c>
      <c r="AO26" s="122">
        <f t="shared" si="10"/>
        <v>0</v>
      </c>
      <c r="AP26" s="107">
        <f t="shared" si="11"/>
        <v>0</v>
      </c>
      <c r="AQ26" s="107">
        <f t="shared" si="12"/>
        <v>0</v>
      </c>
      <c r="AR26" s="123">
        <f t="shared" si="13"/>
        <v>0</v>
      </c>
      <c r="AS26" s="124">
        <f t="shared" si="14"/>
        <v>0</v>
      </c>
      <c r="AT26" s="124">
        <f t="shared" si="15"/>
        <v>0</v>
      </c>
      <c r="AU26" s="124">
        <f t="shared" si="16"/>
        <v>0</v>
      </c>
      <c r="AV26" s="117" t="s">
        <v>19</v>
      </c>
      <c r="AW26" s="129">
        <f>IF(($R$40=AV26)*AND($R$41&lt;&gt;""),VLOOKUP($R$41,'Barèmes police'!$BD$4:$BE$30,2),0)</f>
        <v>0</v>
      </c>
      <c r="AX26" s="16" t="str">
        <f>IF('Types de jours'!F32&lt;&gt;"",'Types de jours'!F32,"")</f>
        <v/>
      </c>
      <c r="AY26" s="144" t="str">
        <f>IF(AX26&lt;&gt;"",'Types de jours'!I32,"")</f>
        <v/>
      </c>
      <c r="AZ26" s="269"/>
      <c r="BA26" s="154"/>
      <c r="BB26" s="154"/>
      <c r="BC26" s="154"/>
      <c r="BD26" s="154"/>
      <c r="BE26" s="154"/>
      <c r="BF26" s="154"/>
    </row>
    <row r="27" spans="1:58" ht="12.75" customHeight="1" x14ac:dyDescent="0.2">
      <c r="A27" s="34"/>
      <c r="B27" s="24" t="str">
        <f t="shared" si="0"/>
        <v>Sa</v>
      </c>
      <c r="C27" s="25">
        <f t="shared" si="22"/>
        <v>45402</v>
      </c>
      <c r="D27" s="51"/>
      <c r="E27" s="116"/>
      <c r="F27" s="52"/>
      <c r="G27" s="53"/>
      <c r="H27" s="54"/>
      <c r="I27" s="55"/>
      <c r="J27" s="54"/>
      <c r="K27" s="55"/>
      <c r="L27" s="40">
        <f t="shared" si="1"/>
        <v>0</v>
      </c>
      <c r="M27" s="41">
        <f t="shared" si="23"/>
        <v>0.31666666666666665</v>
      </c>
      <c r="N27" s="42">
        <f>IF(AND(D27&lt;&gt;"Jour libre 4/5",B27&lt;&gt;"Sa",B27&lt;&gt;"Di"),SUM(N26,Configuration!$H$41),SUM(N26))</f>
        <v>11.399999999999993</v>
      </c>
      <c r="O27" s="49" t="str">
        <f t="shared" si="24"/>
        <v>-</v>
      </c>
      <c r="P27" s="143">
        <f t="shared" si="17"/>
        <v>11.083333333333327</v>
      </c>
      <c r="Q27" s="167">
        <f t="shared" si="18"/>
        <v>0</v>
      </c>
      <c r="R27" s="168">
        <f t="shared" si="18"/>
        <v>0</v>
      </c>
      <c r="S27" s="168">
        <f t="shared" si="18"/>
        <v>0</v>
      </c>
      <c r="T27" s="169">
        <f t="shared" si="18"/>
        <v>0</v>
      </c>
      <c r="U27" s="97">
        <f t="shared" si="2"/>
        <v>0</v>
      </c>
      <c r="V27" s="97">
        <f t="shared" si="3"/>
        <v>0</v>
      </c>
      <c r="W27" s="97">
        <f t="shared" si="4"/>
        <v>0</v>
      </c>
      <c r="X27" s="97">
        <f t="shared" si="5"/>
        <v>0</v>
      </c>
      <c r="Y27" s="209"/>
      <c r="Z27" s="210"/>
      <c r="AA27" s="210"/>
      <c r="AB27" s="128">
        <f>IF(AND(D27="Jour férié semaine",((G27-F27)+(I27-H27)+(K27-J27)=0)),VLOOKUP(D27,Systeemgegevens!$J:$K,2,FALSE),0)</f>
        <v>0</v>
      </c>
      <c r="AC27" s="43">
        <f>IF(AND(NOT(ISERROR(FIND("Congé",D27))),ISERROR(FIND("1/2",D27)),ISERROR(FIND("Synd",D27)),ISERROR(FIND("synd",D27)),(G27-F27+I27-H27+K27-J27)=0),VLOOKUP(D27,Systeemgegevens!$J:$K,2,FALSE),IF(AND(NOT(ISERROR(FIND("1/2 Congé + ",D27))),(G27-F27+I27-H27+K27-J27)=0),VLOOKUP(D27,Systeemgegevens!$J:$K,2,FALSE)/2,IF(AND(NOT(ISERROR(FIND("1/2 Congé",D27))),ISERROR(FIND(" + ",D27)),ISERROR(FIND("1/2 Congé Synd.",D27))),VLOOKUP(D27,Systeemgegevens!$J:$K,2,FALSE),0)))</f>
        <v>0</v>
      </c>
      <c r="AD27" s="43">
        <f>IF(AND(OR(D27="1/2 Congé Synd.",D27="Congé Synd."),((G27-F27)+(I27-H27)+(K27-J27)=0)),VLOOKUP(D27,Systeemgegevens!$J:$K,2,FALSE),IF(AND(D27="1/2 Congé + 1/2 synd.",((G27-F27)+(I27-H27)+(K27-J27)=0)),AC27,0))</f>
        <v>0</v>
      </c>
      <c r="AE27" s="43">
        <f>IF(AND(D27="Jour de pont",((G27-F27)+(I27-H27)+(K27-J27)=0)),VLOOKUP(D27,Systeemgegevens!$J:$K,2,FALSE),0)</f>
        <v>0</v>
      </c>
      <c r="AF27" s="43">
        <f>IF(AND(D27="Jour libre 4/5",AND((G27-F27)+(I27-H27)+(K27-J27)=0)),VLOOKUP(D27,Systeemgegevens!$J:$K,2,FALSE),0)</f>
        <v>0</v>
      </c>
      <c r="AG27" s="118">
        <f>IF(AND(D27&lt;&gt;"",SUM(AB27:AF27)=0,D27&lt;&gt;$AB$4,D27&lt;&gt;$AC$4,D27&lt;&gt;$AE$4,D27&lt;&gt;$AF$4),VLOOKUP(D27,Systeemgegevens!$J:$K,2,FALSE),0)</f>
        <v>0</v>
      </c>
      <c r="AH27" s="119">
        <f t="shared" si="6"/>
        <v>0</v>
      </c>
      <c r="AI27" s="101">
        <f t="shared" si="7"/>
        <v>0</v>
      </c>
      <c r="AJ27" s="118">
        <f t="shared" si="19"/>
        <v>0</v>
      </c>
      <c r="AK27" s="119">
        <f t="shared" si="8"/>
        <v>0</v>
      </c>
      <c r="AL27" s="101">
        <f t="shared" si="9"/>
        <v>0</v>
      </c>
      <c r="AM27" s="43">
        <f t="shared" si="20"/>
        <v>0</v>
      </c>
      <c r="AN27" s="118">
        <f t="shared" si="21"/>
        <v>0</v>
      </c>
      <c r="AO27" s="122">
        <f t="shared" si="10"/>
        <v>0</v>
      </c>
      <c r="AP27" s="107">
        <f t="shared" si="11"/>
        <v>0</v>
      </c>
      <c r="AQ27" s="107">
        <f t="shared" si="12"/>
        <v>0</v>
      </c>
      <c r="AR27" s="123">
        <f t="shared" si="13"/>
        <v>0</v>
      </c>
      <c r="AS27" s="124">
        <f t="shared" si="14"/>
        <v>0</v>
      </c>
      <c r="AT27" s="124">
        <f t="shared" si="15"/>
        <v>0</v>
      </c>
      <c r="AU27" s="124">
        <f t="shared" si="16"/>
        <v>0</v>
      </c>
      <c r="AV27" s="117" t="s">
        <v>18</v>
      </c>
      <c r="AW27" s="129">
        <f>IF(($R$40=AV27)*AND($R$41&lt;&gt;""),VLOOKUP($R$41,'Barèmes police'!$BG$4:$BH$30,2),0)</f>
        <v>0</v>
      </c>
      <c r="AX27" s="16" t="str">
        <f>IF('Types de jours'!F33&lt;&gt;"",'Types de jours'!F33,"")</f>
        <v/>
      </c>
      <c r="AY27" s="144" t="str">
        <f>IF(AX27&lt;&gt;"",'Types de jours'!I33,"")</f>
        <v/>
      </c>
      <c r="AZ27" s="269"/>
      <c r="BA27" s="154"/>
      <c r="BB27" s="154"/>
      <c r="BC27" s="154"/>
      <c r="BD27" s="154"/>
      <c r="BE27" s="154"/>
      <c r="BF27" s="154"/>
    </row>
    <row r="28" spans="1:58" ht="12.75" customHeight="1" x14ac:dyDescent="0.2">
      <c r="A28" s="34"/>
      <c r="B28" s="24" t="str">
        <f t="shared" si="0"/>
        <v>Di</v>
      </c>
      <c r="C28" s="25">
        <f t="shared" si="22"/>
        <v>45403</v>
      </c>
      <c r="D28" s="51"/>
      <c r="E28" s="116"/>
      <c r="F28" s="52"/>
      <c r="G28" s="53"/>
      <c r="H28" s="54"/>
      <c r="I28" s="55"/>
      <c r="J28" s="54"/>
      <c r="K28" s="55"/>
      <c r="L28" s="40">
        <f t="shared" si="1"/>
        <v>0</v>
      </c>
      <c r="M28" s="41">
        <f t="shared" si="23"/>
        <v>0.31666666666666665</v>
      </c>
      <c r="N28" s="42">
        <f>IF(AND(D28&lt;&gt;"Jour libre 4/5",B28&lt;&gt;"Sa",B28&lt;&gt;"Di"),SUM(N27,Configuration!$H$41),SUM(N27))</f>
        <v>11.399999999999993</v>
      </c>
      <c r="O28" s="49" t="str">
        <f t="shared" si="24"/>
        <v>-</v>
      </c>
      <c r="P28" s="143">
        <f t="shared" si="17"/>
        <v>11.083333333333327</v>
      </c>
      <c r="Q28" s="167">
        <f t="shared" si="18"/>
        <v>0</v>
      </c>
      <c r="R28" s="168">
        <f t="shared" si="18"/>
        <v>0</v>
      </c>
      <c r="S28" s="168">
        <f t="shared" si="18"/>
        <v>0</v>
      </c>
      <c r="T28" s="169">
        <f t="shared" si="18"/>
        <v>0</v>
      </c>
      <c r="U28" s="97">
        <f t="shared" si="2"/>
        <v>0</v>
      </c>
      <c r="V28" s="97">
        <f t="shared" si="3"/>
        <v>0</v>
      </c>
      <c r="W28" s="97">
        <f t="shared" si="4"/>
        <v>0</v>
      </c>
      <c r="X28" s="97">
        <f t="shared" si="5"/>
        <v>0</v>
      </c>
      <c r="Y28" s="209"/>
      <c r="Z28" s="210"/>
      <c r="AA28" s="210"/>
      <c r="AB28" s="128">
        <f>IF(AND(D28="Jour férié semaine",((G28-F28)+(I28-H28)+(K28-J28)=0)),VLOOKUP(D28,Systeemgegevens!$J:$K,2,FALSE),0)</f>
        <v>0</v>
      </c>
      <c r="AC28" s="43">
        <f>IF(AND(NOT(ISERROR(FIND("Congé",D28))),ISERROR(FIND("1/2",D28)),ISERROR(FIND("Synd",D28)),ISERROR(FIND("synd",D28)),(G28-F28+I28-H28+K28-J28)=0),VLOOKUP(D28,Systeemgegevens!$J:$K,2,FALSE),IF(AND(NOT(ISERROR(FIND("1/2 Congé + ",D28))),(G28-F28+I28-H28+K28-J28)=0),VLOOKUP(D28,Systeemgegevens!$J:$K,2,FALSE)/2,IF(AND(NOT(ISERROR(FIND("1/2 Congé",D28))),ISERROR(FIND(" + ",D28)),ISERROR(FIND("1/2 Congé Synd.",D28))),VLOOKUP(D28,Systeemgegevens!$J:$K,2,FALSE),0)))</f>
        <v>0</v>
      </c>
      <c r="AD28" s="43">
        <f>IF(AND(OR(D28="1/2 Congé Synd.",D28="Congé Synd."),((G28-F28)+(I28-H28)+(K28-J28)=0)),VLOOKUP(D28,Systeemgegevens!$J:$K,2,FALSE),IF(AND(D28="1/2 Congé + 1/2 synd.",((G28-F28)+(I28-H28)+(K28-J28)=0)),AC28,0))</f>
        <v>0</v>
      </c>
      <c r="AE28" s="43">
        <f>IF(AND(D28="Jour de pont",((G28-F28)+(I28-H28)+(K28-J28)=0)),VLOOKUP(D28,Systeemgegevens!$J:$K,2,FALSE),0)</f>
        <v>0</v>
      </c>
      <c r="AF28" s="43">
        <f>IF(AND(D28="Jour libre 4/5",AND((G28-F28)+(I28-H28)+(K28-J28)=0)),VLOOKUP(D28,Systeemgegevens!$J:$K,2,FALSE),0)</f>
        <v>0</v>
      </c>
      <c r="AG28" s="118">
        <f>IF(AND(D28&lt;&gt;"",SUM(AB28:AF28)=0,D28&lt;&gt;$AB$4,D28&lt;&gt;$AC$4,D28&lt;&gt;$AE$4,D28&lt;&gt;$AF$4),VLOOKUP(D28,Systeemgegevens!$J:$K,2,FALSE),0)</f>
        <v>0</v>
      </c>
      <c r="AH28" s="119">
        <f t="shared" si="6"/>
        <v>0</v>
      </c>
      <c r="AI28" s="101">
        <f t="shared" si="7"/>
        <v>0</v>
      </c>
      <c r="AJ28" s="118">
        <f t="shared" si="19"/>
        <v>0</v>
      </c>
      <c r="AK28" s="119">
        <f t="shared" si="8"/>
        <v>0</v>
      </c>
      <c r="AL28" s="101">
        <f t="shared" si="9"/>
        <v>0</v>
      </c>
      <c r="AM28" s="43">
        <f t="shared" si="20"/>
        <v>0</v>
      </c>
      <c r="AN28" s="118">
        <f t="shared" si="21"/>
        <v>0</v>
      </c>
      <c r="AO28" s="122">
        <f t="shared" si="10"/>
        <v>0</v>
      </c>
      <c r="AP28" s="107">
        <f t="shared" si="11"/>
        <v>0</v>
      </c>
      <c r="AQ28" s="107">
        <f t="shared" si="12"/>
        <v>0</v>
      </c>
      <c r="AR28" s="123">
        <f t="shared" si="13"/>
        <v>0</v>
      </c>
      <c r="AS28" s="124">
        <f t="shared" si="14"/>
        <v>0</v>
      </c>
      <c r="AT28" s="124">
        <f t="shared" si="15"/>
        <v>0</v>
      </c>
      <c r="AU28" s="124">
        <f t="shared" si="16"/>
        <v>0</v>
      </c>
      <c r="AV28" s="117" t="s">
        <v>17</v>
      </c>
      <c r="AW28" s="129">
        <f>IF(($R$40=AV28)*AND($R$41&lt;&gt;""),VLOOKUP($R$41,'Barèmes police'!$BJ$4:$BK$30,2),0)</f>
        <v>0</v>
      </c>
      <c r="AX28" s="16" t="str">
        <f>IF('Types de jours'!F34&lt;&gt;"",'Types de jours'!F34,"")</f>
        <v/>
      </c>
      <c r="AY28" s="144" t="str">
        <f>IF(AX28&lt;&gt;"",'Types de jours'!I34,"")</f>
        <v/>
      </c>
      <c r="AZ28" s="269"/>
      <c r="BA28" s="154"/>
      <c r="BB28" s="154"/>
      <c r="BC28" s="154"/>
      <c r="BD28" s="154"/>
      <c r="BE28" s="154"/>
      <c r="BF28" s="154"/>
    </row>
    <row r="29" spans="1:58" ht="12.75" customHeight="1" x14ac:dyDescent="0.2">
      <c r="A29" s="34"/>
      <c r="B29" s="24" t="str">
        <f t="shared" si="0"/>
        <v>Lu</v>
      </c>
      <c r="C29" s="25">
        <f t="shared" si="22"/>
        <v>45404</v>
      </c>
      <c r="D29" s="51"/>
      <c r="E29" s="116"/>
      <c r="F29" s="52"/>
      <c r="G29" s="53"/>
      <c r="H29" s="54"/>
      <c r="I29" s="55"/>
      <c r="J29" s="54"/>
      <c r="K29" s="55"/>
      <c r="L29" s="40">
        <f t="shared" si="1"/>
        <v>0</v>
      </c>
      <c r="M29" s="41">
        <f t="shared" si="23"/>
        <v>0.31666666666666665</v>
      </c>
      <c r="N29" s="42">
        <f>IF(AND(D29&lt;&gt;"Jour libre 4/5",B29&lt;&gt;"Sa",B29&lt;&gt;"Di"),SUM(N28,Configuration!$H$41),SUM(N28))</f>
        <v>11.71666666666666</v>
      </c>
      <c r="O29" s="49" t="str">
        <f t="shared" si="24"/>
        <v>-</v>
      </c>
      <c r="P29" s="143">
        <f t="shared" si="17"/>
        <v>11.399999999999993</v>
      </c>
      <c r="Q29" s="167">
        <f t="shared" si="18"/>
        <v>0</v>
      </c>
      <c r="R29" s="168">
        <f t="shared" si="18"/>
        <v>0</v>
      </c>
      <c r="S29" s="168">
        <f t="shared" si="18"/>
        <v>0</v>
      </c>
      <c r="T29" s="169">
        <f t="shared" si="18"/>
        <v>0</v>
      </c>
      <c r="U29" s="97">
        <f t="shared" si="2"/>
        <v>0</v>
      </c>
      <c r="V29" s="97">
        <f t="shared" si="3"/>
        <v>0</v>
      </c>
      <c r="W29" s="97">
        <f t="shared" si="4"/>
        <v>0</v>
      </c>
      <c r="X29" s="97">
        <f t="shared" si="5"/>
        <v>0</v>
      </c>
      <c r="Y29" s="209"/>
      <c r="Z29" s="210"/>
      <c r="AA29" s="210"/>
      <c r="AB29" s="128">
        <f>IF(AND(D29="Jour férié semaine",((G29-F29)+(I29-H29)+(K29-J29)=0)),VLOOKUP(D29,Systeemgegevens!$J:$K,2,FALSE),0)</f>
        <v>0</v>
      </c>
      <c r="AC29" s="43">
        <f>IF(AND(NOT(ISERROR(FIND("Congé",D29))),ISERROR(FIND("1/2",D29)),ISERROR(FIND("Synd",D29)),ISERROR(FIND("synd",D29)),(G29-F29+I29-H29+K29-J29)=0),VLOOKUP(D29,Systeemgegevens!$J:$K,2,FALSE),IF(AND(NOT(ISERROR(FIND("1/2 Congé + ",D29))),(G29-F29+I29-H29+K29-J29)=0),VLOOKUP(D29,Systeemgegevens!$J:$K,2,FALSE)/2,IF(AND(NOT(ISERROR(FIND("1/2 Congé",D29))),ISERROR(FIND(" + ",D29)),ISERROR(FIND("1/2 Congé Synd.",D29))),VLOOKUP(D29,Systeemgegevens!$J:$K,2,FALSE),0)))</f>
        <v>0</v>
      </c>
      <c r="AD29" s="43">
        <f>IF(AND(OR(D29="1/2 Congé Synd.",D29="Congé Synd."),((G29-F29)+(I29-H29)+(K29-J29)=0)),VLOOKUP(D29,Systeemgegevens!$J:$K,2,FALSE),IF(AND(D29="1/2 Congé + 1/2 synd.",((G29-F29)+(I29-H29)+(K29-J29)=0)),AC29,0))</f>
        <v>0</v>
      </c>
      <c r="AE29" s="43">
        <f>IF(AND(D29="Jour de pont",((G29-F29)+(I29-H29)+(K29-J29)=0)),VLOOKUP(D29,Systeemgegevens!$J:$K,2,FALSE),0)</f>
        <v>0</v>
      </c>
      <c r="AF29" s="43">
        <f>IF(AND(D29="Jour libre 4/5",AND((G29-F29)+(I29-H29)+(K29-J29)=0)),VLOOKUP(D29,Systeemgegevens!$J:$K,2,FALSE),0)</f>
        <v>0</v>
      </c>
      <c r="AG29" s="118">
        <f>IF(AND(D29&lt;&gt;"",SUM(AB29:AF29)=0,D29&lt;&gt;$AB$4,D29&lt;&gt;$AC$4,D29&lt;&gt;$AE$4,D29&lt;&gt;$AF$4),VLOOKUP(D29,Systeemgegevens!$J:$K,2,FALSE),0)</f>
        <v>0</v>
      </c>
      <c r="AH29" s="119">
        <f t="shared" si="6"/>
        <v>0</v>
      </c>
      <c r="AI29" s="101">
        <f t="shared" si="7"/>
        <v>0</v>
      </c>
      <c r="AJ29" s="118">
        <f t="shared" si="19"/>
        <v>0</v>
      </c>
      <c r="AK29" s="119">
        <f t="shared" si="8"/>
        <v>0</v>
      </c>
      <c r="AL29" s="101">
        <f t="shared" si="9"/>
        <v>0</v>
      </c>
      <c r="AM29" s="43">
        <f t="shared" si="20"/>
        <v>0</v>
      </c>
      <c r="AN29" s="118">
        <f t="shared" si="21"/>
        <v>0</v>
      </c>
      <c r="AO29" s="122">
        <f t="shared" si="10"/>
        <v>0</v>
      </c>
      <c r="AP29" s="107">
        <f t="shared" si="11"/>
        <v>0</v>
      </c>
      <c r="AQ29" s="107">
        <f t="shared" si="12"/>
        <v>0</v>
      </c>
      <c r="AR29" s="123">
        <f t="shared" si="13"/>
        <v>0</v>
      </c>
      <c r="AS29" s="124">
        <f t="shared" si="14"/>
        <v>0</v>
      </c>
      <c r="AT29" s="124">
        <f t="shared" si="15"/>
        <v>0</v>
      </c>
      <c r="AU29" s="124">
        <f t="shared" si="16"/>
        <v>0</v>
      </c>
      <c r="AV29" s="117" t="s">
        <v>16</v>
      </c>
      <c r="AW29" s="129">
        <f>IF(($R$40=AV29)*AND($R$41&lt;&gt;""),VLOOKUP($R$41,'Barèmes police'!$BM$4:$BN$30,2),0)</f>
        <v>0</v>
      </c>
      <c r="AX29" s="145" t="str">
        <f>IF('Types de jours'!F35&lt;&gt;"",'Types de jours'!F35,"")</f>
        <v/>
      </c>
      <c r="AY29" s="146" t="str">
        <f>IF(AX29&lt;&gt;"",'Types de jours'!I35,"")</f>
        <v/>
      </c>
      <c r="AZ29" s="269"/>
      <c r="BA29" s="154"/>
      <c r="BB29" s="154"/>
      <c r="BC29" s="154"/>
      <c r="BD29" s="154"/>
      <c r="BE29" s="154"/>
      <c r="BF29" s="154"/>
    </row>
    <row r="30" spans="1:58" ht="12.75" customHeight="1" x14ac:dyDescent="0.2">
      <c r="A30" s="34"/>
      <c r="B30" s="24" t="str">
        <f t="shared" si="0"/>
        <v>Ma</v>
      </c>
      <c r="C30" s="25">
        <f t="shared" si="22"/>
        <v>45405</v>
      </c>
      <c r="D30" s="51"/>
      <c r="E30" s="116"/>
      <c r="F30" s="52"/>
      <c r="G30" s="53"/>
      <c r="H30" s="54"/>
      <c r="I30" s="55"/>
      <c r="J30" s="54"/>
      <c r="K30" s="55"/>
      <c r="L30" s="40">
        <f t="shared" si="1"/>
        <v>0</v>
      </c>
      <c r="M30" s="41">
        <f t="shared" si="23"/>
        <v>0.31666666666666665</v>
      </c>
      <c r="N30" s="42">
        <f>IF(AND(D30&lt;&gt;"Jour libre 4/5",B30&lt;&gt;"Sa",B30&lt;&gt;"Di"),SUM(N29,Configuration!$H$41),SUM(N29))</f>
        <v>12.033333333333326</v>
      </c>
      <c r="O30" s="49" t="str">
        <f t="shared" si="24"/>
        <v>-</v>
      </c>
      <c r="P30" s="143">
        <f t="shared" si="17"/>
        <v>11.71666666666666</v>
      </c>
      <c r="Q30" s="167">
        <f t="shared" si="18"/>
        <v>0</v>
      </c>
      <c r="R30" s="168">
        <f t="shared" si="18"/>
        <v>0</v>
      </c>
      <c r="S30" s="168">
        <f t="shared" si="18"/>
        <v>0</v>
      </c>
      <c r="T30" s="169">
        <f t="shared" si="18"/>
        <v>0</v>
      </c>
      <c r="U30" s="97">
        <f t="shared" si="2"/>
        <v>0</v>
      </c>
      <c r="V30" s="97">
        <f t="shared" si="3"/>
        <v>0</v>
      </c>
      <c r="W30" s="97">
        <f t="shared" si="4"/>
        <v>0</v>
      </c>
      <c r="X30" s="97">
        <f t="shared" si="5"/>
        <v>0</v>
      </c>
      <c r="Y30" s="209"/>
      <c r="Z30" s="210"/>
      <c r="AA30" s="210"/>
      <c r="AB30" s="128">
        <f>IF(AND(D30="Jour férié semaine",((G30-F30)+(I30-H30)+(K30-J30)=0)),VLOOKUP(D30,Systeemgegevens!$J:$K,2,FALSE),0)</f>
        <v>0</v>
      </c>
      <c r="AC30" s="43">
        <f>IF(AND(NOT(ISERROR(FIND("Congé",D30))),ISERROR(FIND("1/2",D30)),ISERROR(FIND("Synd",D30)),ISERROR(FIND("synd",D30)),(G30-F30+I30-H30+K30-J30)=0),VLOOKUP(D30,Systeemgegevens!$J:$K,2,FALSE),IF(AND(NOT(ISERROR(FIND("1/2 Congé + ",D30))),(G30-F30+I30-H30+K30-J30)=0),VLOOKUP(D30,Systeemgegevens!$J:$K,2,FALSE)/2,IF(AND(NOT(ISERROR(FIND("1/2 Congé",D30))),ISERROR(FIND(" + ",D30)),ISERROR(FIND("1/2 Congé Synd.",D30))),VLOOKUP(D30,Systeemgegevens!$J:$K,2,FALSE),0)))</f>
        <v>0</v>
      </c>
      <c r="AD30" s="43">
        <f>IF(AND(OR(D30="1/2 Congé Synd.",D30="Congé Synd."),((G30-F30)+(I30-H30)+(K30-J30)=0)),VLOOKUP(D30,Systeemgegevens!$J:$K,2,FALSE),IF(AND(D30="1/2 Congé + 1/2 synd.",((G30-F30)+(I30-H30)+(K30-J30)=0)),AC30,0))</f>
        <v>0</v>
      </c>
      <c r="AE30" s="43">
        <f>IF(AND(D30="Jour de pont",((G30-F30)+(I30-H30)+(K30-J30)=0)),VLOOKUP(D30,Systeemgegevens!$J:$K,2,FALSE),0)</f>
        <v>0</v>
      </c>
      <c r="AF30" s="43">
        <f>IF(AND(D30="Jour libre 4/5",AND((G30-F30)+(I30-H30)+(K30-J30)=0)),VLOOKUP(D30,Systeemgegevens!$J:$K,2,FALSE),0)</f>
        <v>0</v>
      </c>
      <c r="AG30" s="118">
        <f>IF(AND(D30&lt;&gt;"",SUM(AB30:AF30)=0,D30&lt;&gt;$AB$4,D30&lt;&gt;$AC$4,D30&lt;&gt;$AE$4,D30&lt;&gt;$AF$4),VLOOKUP(D30,Systeemgegevens!$J:$K,2,FALSE),0)</f>
        <v>0</v>
      </c>
      <c r="AH30" s="119">
        <f t="shared" si="6"/>
        <v>0</v>
      </c>
      <c r="AI30" s="101">
        <f t="shared" si="7"/>
        <v>0</v>
      </c>
      <c r="AJ30" s="118">
        <f t="shared" si="19"/>
        <v>0</v>
      </c>
      <c r="AK30" s="119">
        <f t="shared" si="8"/>
        <v>0</v>
      </c>
      <c r="AL30" s="101">
        <f t="shared" si="9"/>
        <v>0</v>
      </c>
      <c r="AM30" s="43">
        <f t="shared" si="20"/>
        <v>0</v>
      </c>
      <c r="AN30" s="118">
        <f t="shared" si="21"/>
        <v>0</v>
      </c>
      <c r="AO30" s="122">
        <f t="shared" si="10"/>
        <v>0</v>
      </c>
      <c r="AP30" s="107">
        <f t="shared" si="11"/>
        <v>0</v>
      </c>
      <c r="AQ30" s="107">
        <f t="shared" si="12"/>
        <v>0</v>
      </c>
      <c r="AR30" s="123">
        <f t="shared" si="13"/>
        <v>0</v>
      </c>
      <c r="AS30" s="124">
        <f t="shared" si="14"/>
        <v>0</v>
      </c>
      <c r="AT30" s="124">
        <f t="shared" si="15"/>
        <v>0</v>
      </c>
      <c r="AU30" s="124">
        <f t="shared" si="16"/>
        <v>0</v>
      </c>
      <c r="AV30" s="117" t="s">
        <v>14</v>
      </c>
      <c r="AW30" s="129">
        <f>IF(($R$40=AV30)*AND($R$41&lt;&gt;""),VLOOKUP($R$41,'Barèmes police'!$B$40:$C$66,2),0)</f>
        <v>0</v>
      </c>
      <c r="AX30" s="129"/>
      <c r="AY30" s="129"/>
      <c r="AZ30" s="154"/>
      <c r="BA30" s="154"/>
      <c r="BB30" s="154"/>
      <c r="BC30" s="154"/>
      <c r="BD30" s="154"/>
      <c r="BE30" s="154"/>
      <c r="BF30" s="154"/>
    </row>
    <row r="31" spans="1:58" ht="12.75" customHeight="1" x14ac:dyDescent="0.2">
      <c r="A31" s="34"/>
      <c r="B31" s="24" t="str">
        <f t="shared" si="0"/>
        <v>Me</v>
      </c>
      <c r="C31" s="25">
        <f t="shared" si="22"/>
        <v>45406</v>
      </c>
      <c r="D31" s="51"/>
      <c r="E31" s="116"/>
      <c r="F31" s="52"/>
      <c r="G31" s="53"/>
      <c r="H31" s="52"/>
      <c r="I31" s="53"/>
      <c r="J31" s="54"/>
      <c r="K31" s="55"/>
      <c r="L31" s="40">
        <f t="shared" si="1"/>
        <v>0</v>
      </c>
      <c r="M31" s="41">
        <f t="shared" si="23"/>
        <v>0.31666666666666665</v>
      </c>
      <c r="N31" s="42">
        <f>IF(AND(D31&lt;&gt;"Jour libre 4/5",B31&lt;&gt;"Sa",B31&lt;&gt;"Di"),SUM(N30,Configuration!$H$41),SUM(N30))</f>
        <v>12.349999999999993</v>
      </c>
      <c r="O31" s="49" t="str">
        <f t="shared" si="24"/>
        <v>-</v>
      </c>
      <c r="P31" s="143">
        <f t="shared" si="17"/>
        <v>12.033333333333326</v>
      </c>
      <c r="Q31" s="167">
        <f t="shared" si="18"/>
        <v>0</v>
      </c>
      <c r="R31" s="168">
        <f t="shared" si="18"/>
        <v>0</v>
      </c>
      <c r="S31" s="168">
        <f t="shared" si="18"/>
        <v>0</v>
      </c>
      <c r="T31" s="169">
        <f t="shared" si="18"/>
        <v>0</v>
      </c>
      <c r="U31" s="97">
        <f t="shared" si="2"/>
        <v>0</v>
      </c>
      <c r="V31" s="97">
        <f t="shared" si="3"/>
        <v>0</v>
      </c>
      <c r="W31" s="97">
        <f t="shared" si="4"/>
        <v>0</v>
      </c>
      <c r="X31" s="97">
        <f t="shared" si="5"/>
        <v>0</v>
      </c>
      <c r="Y31" s="209"/>
      <c r="Z31" s="210"/>
      <c r="AA31" s="210"/>
      <c r="AB31" s="128">
        <f>IF(AND(D31="Jour férié semaine",((G31-F31)+(I31-H31)+(K31-J31)=0)),VLOOKUP(D31,Systeemgegevens!$J:$K,2,FALSE),0)</f>
        <v>0</v>
      </c>
      <c r="AC31" s="43">
        <f>IF(AND(NOT(ISERROR(FIND("Congé",D31))),ISERROR(FIND("1/2",D31)),ISERROR(FIND("Synd",D31)),ISERROR(FIND("synd",D31)),(G31-F31+I31-H31+K31-J31)=0),VLOOKUP(D31,Systeemgegevens!$J:$K,2,FALSE),IF(AND(NOT(ISERROR(FIND("1/2 Congé + ",D31))),(G31-F31+I31-H31+K31-J31)=0),VLOOKUP(D31,Systeemgegevens!$J:$K,2,FALSE)/2,IF(AND(NOT(ISERROR(FIND("1/2 Congé",D31))),ISERROR(FIND(" + ",D31)),ISERROR(FIND("1/2 Congé Synd.",D31))),VLOOKUP(D31,Systeemgegevens!$J:$K,2,FALSE),0)))</f>
        <v>0</v>
      </c>
      <c r="AD31" s="43">
        <f>IF(AND(OR(D31="1/2 Congé Synd.",D31="Congé Synd."),((G31-F31)+(I31-H31)+(K31-J31)=0)),VLOOKUP(D31,Systeemgegevens!$J:$K,2,FALSE),IF(AND(D31="1/2 Congé + 1/2 synd.",((G31-F31)+(I31-H31)+(K31-J31)=0)),AC31,0))</f>
        <v>0</v>
      </c>
      <c r="AE31" s="43">
        <f>IF(AND(D31="Jour de pont",((G31-F31)+(I31-H31)+(K31-J31)=0)),VLOOKUP(D31,Systeemgegevens!$J:$K,2,FALSE),0)</f>
        <v>0</v>
      </c>
      <c r="AF31" s="43">
        <f>IF(AND(D31="Jour libre 4/5",AND((G31-F31)+(I31-H31)+(K31-J31)=0)),VLOOKUP(D31,Systeemgegevens!$J:$K,2,FALSE),0)</f>
        <v>0</v>
      </c>
      <c r="AG31" s="118">
        <f>IF(AND(D31&lt;&gt;"",SUM(AB31:AF31)=0,D31&lt;&gt;$AB$4,D31&lt;&gt;$AC$4,D31&lt;&gt;$AE$4,D31&lt;&gt;$AF$4),VLOOKUP(D31,Systeemgegevens!$J:$K,2,FALSE),0)</f>
        <v>0</v>
      </c>
      <c r="AH31" s="119">
        <f t="shared" si="6"/>
        <v>0</v>
      </c>
      <c r="AI31" s="101">
        <f t="shared" si="7"/>
        <v>0</v>
      </c>
      <c r="AJ31" s="118">
        <f t="shared" si="19"/>
        <v>0</v>
      </c>
      <c r="AK31" s="119">
        <f t="shared" si="8"/>
        <v>0</v>
      </c>
      <c r="AL31" s="101">
        <f t="shared" si="9"/>
        <v>0</v>
      </c>
      <c r="AM31" s="43">
        <f t="shared" si="20"/>
        <v>0</v>
      </c>
      <c r="AN31" s="118">
        <f t="shared" si="21"/>
        <v>0</v>
      </c>
      <c r="AO31" s="122">
        <f t="shared" si="10"/>
        <v>0</v>
      </c>
      <c r="AP31" s="107">
        <f t="shared" si="11"/>
        <v>0</v>
      </c>
      <c r="AQ31" s="107">
        <f t="shared" si="12"/>
        <v>0</v>
      </c>
      <c r="AR31" s="123">
        <f t="shared" si="13"/>
        <v>0</v>
      </c>
      <c r="AS31" s="124">
        <f t="shared" si="14"/>
        <v>0</v>
      </c>
      <c r="AT31" s="124">
        <f t="shared" si="15"/>
        <v>0</v>
      </c>
      <c r="AU31" s="124">
        <f t="shared" si="16"/>
        <v>0</v>
      </c>
      <c r="AV31" s="117" t="s">
        <v>13</v>
      </c>
      <c r="AW31" s="129">
        <f>IF(($R$40=AV31)*AND($R$41&lt;&gt;""),VLOOKUP($R$41,'Barèmes police'!$E$40:$F$66,2),0)</f>
        <v>0</v>
      </c>
      <c r="AX31" s="129"/>
      <c r="AY31" s="129"/>
      <c r="AZ31" s="154"/>
      <c r="BA31" s="154"/>
      <c r="BB31" s="154"/>
      <c r="BC31" s="154"/>
      <c r="BD31" s="154"/>
      <c r="BE31" s="154"/>
      <c r="BF31" s="154"/>
    </row>
    <row r="32" spans="1:58" ht="12.75" customHeight="1" x14ac:dyDescent="0.2">
      <c r="A32" s="34"/>
      <c r="B32" s="24" t="str">
        <f t="shared" si="0"/>
        <v>Je</v>
      </c>
      <c r="C32" s="25">
        <f t="shared" si="22"/>
        <v>45407</v>
      </c>
      <c r="D32" s="51"/>
      <c r="E32" s="116"/>
      <c r="F32" s="52"/>
      <c r="G32" s="53"/>
      <c r="H32" s="52"/>
      <c r="I32" s="53"/>
      <c r="J32" s="54"/>
      <c r="K32" s="55"/>
      <c r="L32" s="40">
        <f t="shared" si="1"/>
        <v>0</v>
      </c>
      <c r="M32" s="41">
        <f t="shared" si="23"/>
        <v>0.31666666666666665</v>
      </c>
      <c r="N32" s="42">
        <f>IF(AND(D32&lt;&gt;"Jour libre 4/5",B32&lt;&gt;"Sa",B32&lt;&gt;"Di"),SUM(N31,Configuration!$H$41),SUM(N31))</f>
        <v>12.666666666666659</v>
      </c>
      <c r="O32" s="49" t="str">
        <f t="shared" si="24"/>
        <v>-</v>
      </c>
      <c r="P32" s="143">
        <f t="shared" si="17"/>
        <v>12.349999999999993</v>
      </c>
      <c r="Q32" s="167">
        <f t="shared" si="18"/>
        <v>0</v>
      </c>
      <c r="R32" s="168">
        <f t="shared" si="18"/>
        <v>0</v>
      </c>
      <c r="S32" s="168">
        <f t="shared" si="18"/>
        <v>0</v>
      </c>
      <c r="T32" s="169">
        <f t="shared" si="18"/>
        <v>0</v>
      </c>
      <c r="U32" s="97">
        <f t="shared" si="2"/>
        <v>0</v>
      </c>
      <c r="V32" s="97">
        <f t="shared" si="3"/>
        <v>0</v>
      </c>
      <c r="W32" s="97">
        <f t="shared" si="4"/>
        <v>0</v>
      </c>
      <c r="X32" s="97">
        <f t="shared" si="5"/>
        <v>0</v>
      </c>
      <c r="Y32" s="209"/>
      <c r="Z32" s="210"/>
      <c r="AA32" s="210"/>
      <c r="AB32" s="128">
        <f>IF(AND(D32="Jour férié semaine",((G32-F32)+(I32-H32)+(K32-J32)=0)),VLOOKUP(D32,Systeemgegevens!$J:$K,2,FALSE),0)</f>
        <v>0</v>
      </c>
      <c r="AC32" s="43">
        <f>IF(AND(NOT(ISERROR(FIND("Congé",D32))),ISERROR(FIND("1/2",D32)),ISERROR(FIND("Synd",D32)),ISERROR(FIND("synd",D32)),(G32-F32+I32-H32+K32-J32)=0),VLOOKUP(D32,Systeemgegevens!$J:$K,2,FALSE),IF(AND(NOT(ISERROR(FIND("1/2 Congé + ",D32))),(G32-F32+I32-H32+K32-J32)=0),VLOOKUP(D32,Systeemgegevens!$J:$K,2,FALSE)/2,IF(AND(NOT(ISERROR(FIND("1/2 Congé",D32))),ISERROR(FIND(" + ",D32)),ISERROR(FIND("1/2 Congé Synd.",D32))),VLOOKUP(D32,Systeemgegevens!$J:$K,2,FALSE),0)))</f>
        <v>0</v>
      </c>
      <c r="AD32" s="43">
        <f>IF(AND(OR(D32="1/2 Congé Synd.",D32="Congé Synd."),((G32-F32)+(I32-H32)+(K32-J32)=0)),VLOOKUP(D32,Systeemgegevens!$J:$K,2,FALSE),IF(AND(D32="1/2 Congé + 1/2 synd.",((G32-F32)+(I32-H32)+(K32-J32)=0)),AC32,0))</f>
        <v>0</v>
      </c>
      <c r="AE32" s="43">
        <f>IF(AND(D32="Jour de pont",((G32-F32)+(I32-H32)+(K32-J32)=0)),VLOOKUP(D32,Systeemgegevens!$J:$K,2,FALSE),0)</f>
        <v>0</v>
      </c>
      <c r="AF32" s="43">
        <f>IF(AND(D32="Jour libre 4/5",AND((G32-F32)+(I32-H32)+(K32-J32)=0)),VLOOKUP(D32,Systeemgegevens!$J:$K,2,FALSE),0)</f>
        <v>0</v>
      </c>
      <c r="AG32" s="118">
        <f>IF(AND(D32&lt;&gt;"",SUM(AB32:AF32)=0,D32&lt;&gt;$AB$4,D32&lt;&gt;$AC$4,D32&lt;&gt;$AE$4,D32&lt;&gt;$AF$4),VLOOKUP(D32,Systeemgegevens!$J:$K,2,FALSE),0)</f>
        <v>0</v>
      </c>
      <c r="AH32" s="119">
        <f t="shared" si="6"/>
        <v>0</v>
      </c>
      <c r="AI32" s="101">
        <f t="shared" si="7"/>
        <v>0</v>
      </c>
      <c r="AJ32" s="118">
        <f t="shared" si="19"/>
        <v>0</v>
      </c>
      <c r="AK32" s="119">
        <f t="shared" si="8"/>
        <v>0</v>
      </c>
      <c r="AL32" s="101">
        <f t="shared" si="9"/>
        <v>0</v>
      </c>
      <c r="AM32" s="43">
        <f t="shared" si="20"/>
        <v>0</v>
      </c>
      <c r="AN32" s="118">
        <f t="shared" si="21"/>
        <v>0</v>
      </c>
      <c r="AO32" s="122">
        <f t="shared" si="10"/>
        <v>0</v>
      </c>
      <c r="AP32" s="107">
        <f t="shared" si="11"/>
        <v>0</v>
      </c>
      <c r="AQ32" s="107">
        <f t="shared" si="12"/>
        <v>0</v>
      </c>
      <c r="AR32" s="123">
        <f t="shared" si="13"/>
        <v>0</v>
      </c>
      <c r="AS32" s="124">
        <f t="shared" si="14"/>
        <v>0</v>
      </c>
      <c r="AT32" s="124">
        <f t="shared" si="15"/>
        <v>0</v>
      </c>
      <c r="AU32" s="124">
        <f t="shared" si="16"/>
        <v>0</v>
      </c>
      <c r="AV32" s="117" t="s">
        <v>7</v>
      </c>
      <c r="AW32" s="129">
        <f>IF(($R$40=AV32)*AND($R$41&lt;&gt;""),VLOOKUP($R$41,'Barèmes police'!$AC$40:$AD$66,2),0)</f>
        <v>0</v>
      </c>
      <c r="AX32" s="129"/>
      <c r="AY32" s="129"/>
      <c r="AZ32" s="154"/>
      <c r="BA32" s="154"/>
      <c r="BB32" s="154"/>
      <c r="BC32" s="154"/>
      <c r="BD32" s="154"/>
      <c r="BE32" s="154"/>
      <c r="BF32" s="154"/>
    </row>
    <row r="33" spans="1:58" ht="12.75" customHeight="1" x14ac:dyDescent="0.2">
      <c r="A33" s="34"/>
      <c r="B33" s="24" t="str">
        <f t="shared" si="0"/>
        <v>Ve</v>
      </c>
      <c r="C33" s="25">
        <f t="shared" si="22"/>
        <v>45408</v>
      </c>
      <c r="D33" s="51"/>
      <c r="E33" s="116"/>
      <c r="F33" s="52"/>
      <c r="G33" s="53"/>
      <c r="H33" s="54"/>
      <c r="I33" s="55"/>
      <c r="J33" s="54"/>
      <c r="K33" s="55"/>
      <c r="L33" s="40">
        <f t="shared" si="1"/>
        <v>0</v>
      </c>
      <c r="M33" s="41">
        <f t="shared" si="23"/>
        <v>0.31666666666666665</v>
      </c>
      <c r="N33" s="42">
        <f>IF(AND(D33&lt;&gt;"Jour libre 4/5",B33&lt;&gt;"Sa",B33&lt;&gt;"Di"),SUM(N32,Configuration!$H$41),SUM(N32))</f>
        <v>12.983333333333325</v>
      </c>
      <c r="O33" s="49" t="str">
        <f t="shared" si="24"/>
        <v>-</v>
      </c>
      <c r="P33" s="143">
        <f t="shared" si="17"/>
        <v>12.666666666666659</v>
      </c>
      <c r="Q33" s="167">
        <f t="shared" si="18"/>
        <v>0</v>
      </c>
      <c r="R33" s="168">
        <f t="shared" si="18"/>
        <v>0</v>
      </c>
      <c r="S33" s="168">
        <f t="shared" si="18"/>
        <v>0</v>
      </c>
      <c r="T33" s="169">
        <f t="shared" si="18"/>
        <v>0</v>
      </c>
      <c r="U33" s="97">
        <f t="shared" si="2"/>
        <v>0</v>
      </c>
      <c r="V33" s="97">
        <f t="shared" si="3"/>
        <v>0</v>
      </c>
      <c r="W33" s="97">
        <f t="shared" si="4"/>
        <v>0</v>
      </c>
      <c r="X33" s="97">
        <f t="shared" si="5"/>
        <v>0</v>
      </c>
      <c r="Y33" s="209"/>
      <c r="Z33" s="210"/>
      <c r="AA33" s="210"/>
      <c r="AB33" s="128">
        <f>IF(AND(D33="Jour férié semaine",((G33-F33)+(I33-H33)+(K33-J33)=0)),VLOOKUP(D33,Systeemgegevens!$J:$K,2,FALSE),0)</f>
        <v>0</v>
      </c>
      <c r="AC33" s="43">
        <f>IF(AND(NOT(ISERROR(FIND("Congé",D33))),ISERROR(FIND("1/2",D33)),ISERROR(FIND("Synd",D33)),ISERROR(FIND("synd",D33)),(G33-F33+I33-H33+K33-J33)=0),VLOOKUP(D33,Systeemgegevens!$J:$K,2,FALSE),IF(AND(NOT(ISERROR(FIND("1/2 Congé + ",D33))),(G33-F33+I33-H33+K33-J33)=0),VLOOKUP(D33,Systeemgegevens!$J:$K,2,FALSE)/2,IF(AND(NOT(ISERROR(FIND("1/2 Congé",D33))),ISERROR(FIND(" + ",D33)),ISERROR(FIND("1/2 Congé Synd.",D33))),VLOOKUP(D33,Systeemgegevens!$J:$K,2,FALSE),0)))</f>
        <v>0</v>
      </c>
      <c r="AD33" s="43">
        <f>IF(AND(OR(D33="1/2 Congé Synd.",D33="Congé Synd."),((G33-F33)+(I33-H33)+(K33-J33)=0)),VLOOKUP(D33,Systeemgegevens!$J:$K,2,FALSE),IF(AND(D33="1/2 Congé + 1/2 synd.",((G33-F33)+(I33-H33)+(K33-J33)=0)),AC33,0))</f>
        <v>0</v>
      </c>
      <c r="AE33" s="43">
        <f>IF(AND(D33="Jour de pont",((G33-F33)+(I33-H33)+(K33-J33)=0)),VLOOKUP(D33,Systeemgegevens!$J:$K,2,FALSE),0)</f>
        <v>0</v>
      </c>
      <c r="AF33" s="43">
        <f>IF(AND(D33="Jour libre 4/5",AND((G33-F33)+(I33-H33)+(K33-J33)=0)),VLOOKUP(D33,Systeemgegevens!$J:$K,2,FALSE),0)</f>
        <v>0</v>
      </c>
      <c r="AG33" s="118">
        <f>IF(AND(D33&lt;&gt;"",SUM(AB33:AF33)=0,D33&lt;&gt;$AB$4,D33&lt;&gt;$AC$4,D33&lt;&gt;$AE$4,D33&lt;&gt;$AF$4),VLOOKUP(D33,Systeemgegevens!$J:$K,2,FALSE),0)</f>
        <v>0</v>
      </c>
      <c r="AH33" s="119">
        <f t="shared" si="6"/>
        <v>0</v>
      </c>
      <c r="AI33" s="101">
        <f t="shared" si="7"/>
        <v>0</v>
      </c>
      <c r="AJ33" s="118">
        <f t="shared" si="19"/>
        <v>0</v>
      </c>
      <c r="AK33" s="119">
        <f t="shared" si="8"/>
        <v>0</v>
      </c>
      <c r="AL33" s="101">
        <f t="shared" si="9"/>
        <v>0</v>
      </c>
      <c r="AM33" s="43">
        <f t="shared" si="20"/>
        <v>0</v>
      </c>
      <c r="AN33" s="118">
        <f t="shared" si="21"/>
        <v>0</v>
      </c>
      <c r="AO33" s="122">
        <f t="shared" si="10"/>
        <v>0</v>
      </c>
      <c r="AP33" s="107">
        <f t="shared" si="11"/>
        <v>0</v>
      </c>
      <c r="AQ33" s="107">
        <f t="shared" si="12"/>
        <v>0</v>
      </c>
      <c r="AR33" s="123">
        <f t="shared" si="13"/>
        <v>0</v>
      </c>
      <c r="AS33" s="124">
        <f t="shared" si="14"/>
        <v>0</v>
      </c>
      <c r="AT33" s="124">
        <f t="shared" si="15"/>
        <v>0</v>
      </c>
      <c r="AU33" s="124">
        <f t="shared" si="16"/>
        <v>0</v>
      </c>
      <c r="AV33" s="117" t="s">
        <v>12</v>
      </c>
      <c r="AW33" s="129">
        <f>IF(($R$40=AV33)*AND($R$41&lt;&gt;""),VLOOKUP($R$41,'Barèmes police'!$H$40:$I$66,2),0)</f>
        <v>0</v>
      </c>
      <c r="AX33" s="129"/>
      <c r="AY33" s="129"/>
      <c r="AZ33" s="154"/>
      <c r="BA33" s="154"/>
      <c r="BB33" s="154"/>
      <c r="BC33" s="154"/>
      <c r="BD33" s="154"/>
      <c r="BE33" s="154"/>
      <c r="BF33" s="154"/>
    </row>
    <row r="34" spans="1:58" ht="12.75" customHeight="1" x14ac:dyDescent="0.2">
      <c r="A34" s="34"/>
      <c r="B34" s="24" t="str">
        <f t="shared" si="0"/>
        <v>Sa</v>
      </c>
      <c r="C34" s="25">
        <f t="shared" si="22"/>
        <v>45409</v>
      </c>
      <c r="D34" s="51"/>
      <c r="E34" s="116"/>
      <c r="F34" s="52"/>
      <c r="G34" s="53"/>
      <c r="H34" s="54"/>
      <c r="I34" s="55"/>
      <c r="J34" s="54"/>
      <c r="K34" s="55"/>
      <c r="L34" s="40">
        <f t="shared" si="1"/>
        <v>0</v>
      </c>
      <c r="M34" s="41">
        <f t="shared" si="23"/>
        <v>0.31666666666666665</v>
      </c>
      <c r="N34" s="42">
        <f>IF(AND(D34&lt;&gt;"Jour libre 4/5",B34&lt;&gt;"Sa",B34&lt;&gt;"Di"),SUM(N33,Configuration!$H$41),SUM(N33))</f>
        <v>12.983333333333325</v>
      </c>
      <c r="O34" s="49" t="str">
        <f t="shared" si="24"/>
        <v>-</v>
      </c>
      <c r="P34" s="143">
        <f t="shared" si="17"/>
        <v>12.666666666666659</v>
      </c>
      <c r="Q34" s="167">
        <f t="shared" si="18"/>
        <v>0</v>
      </c>
      <c r="R34" s="168">
        <f t="shared" si="18"/>
        <v>0</v>
      </c>
      <c r="S34" s="168">
        <f t="shared" si="18"/>
        <v>0</v>
      </c>
      <c r="T34" s="169">
        <f t="shared" si="18"/>
        <v>0</v>
      </c>
      <c r="U34" s="97">
        <f t="shared" si="2"/>
        <v>0</v>
      </c>
      <c r="V34" s="97">
        <f t="shared" si="3"/>
        <v>0</v>
      </c>
      <c r="W34" s="97">
        <f t="shared" si="4"/>
        <v>0</v>
      </c>
      <c r="X34" s="97">
        <f t="shared" si="5"/>
        <v>0</v>
      </c>
      <c r="Y34" s="209"/>
      <c r="Z34" s="210"/>
      <c r="AA34" s="210"/>
      <c r="AB34" s="128">
        <f>IF(AND(D34="Jour férié semaine",((G34-F34)+(I34-H34)+(K34-J34)=0)),VLOOKUP(D34,Systeemgegevens!$J:$K,2,FALSE),0)</f>
        <v>0</v>
      </c>
      <c r="AC34" s="43">
        <f>IF(AND(NOT(ISERROR(FIND("Congé",D34))),ISERROR(FIND("1/2",D34)),ISERROR(FIND("Synd",D34)),ISERROR(FIND("synd",D34)),(G34-F34+I34-H34+K34-J34)=0),VLOOKUP(D34,Systeemgegevens!$J:$K,2,FALSE),IF(AND(NOT(ISERROR(FIND("1/2 Congé + ",D34))),(G34-F34+I34-H34+K34-J34)=0),VLOOKUP(D34,Systeemgegevens!$J:$K,2,FALSE)/2,IF(AND(NOT(ISERROR(FIND("1/2 Congé",D34))),ISERROR(FIND(" + ",D34)),ISERROR(FIND("1/2 Congé Synd.",D34))),VLOOKUP(D34,Systeemgegevens!$J:$K,2,FALSE),0)))</f>
        <v>0</v>
      </c>
      <c r="AD34" s="43">
        <f>IF(AND(OR(D34="1/2 Congé Synd.",D34="Congé Synd."),((G34-F34)+(I34-H34)+(K34-J34)=0)),VLOOKUP(D34,Systeemgegevens!$J:$K,2,FALSE),IF(AND(D34="1/2 Congé + 1/2 synd.",((G34-F34)+(I34-H34)+(K34-J34)=0)),AC34,0))</f>
        <v>0</v>
      </c>
      <c r="AE34" s="43">
        <f>IF(AND(D34="Jour de pont",((G34-F34)+(I34-H34)+(K34-J34)=0)),VLOOKUP(D34,Systeemgegevens!$J:$K,2,FALSE),0)</f>
        <v>0</v>
      </c>
      <c r="AF34" s="43">
        <f>IF(AND(D34="Jour libre 4/5",AND((G34-F34)+(I34-H34)+(K34-J34)=0)),VLOOKUP(D34,Systeemgegevens!$J:$K,2,FALSE),0)</f>
        <v>0</v>
      </c>
      <c r="AG34" s="118">
        <f>IF(AND(D34&lt;&gt;"",SUM(AB34:AF34)=0,D34&lt;&gt;$AB$4,D34&lt;&gt;$AC$4,D34&lt;&gt;$AE$4,D34&lt;&gt;$AF$4),VLOOKUP(D34,Systeemgegevens!$J:$K,2,FALSE),0)</f>
        <v>0</v>
      </c>
      <c r="AH34" s="119">
        <f t="shared" si="6"/>
        <v>0</v>
      </c>
      <c r="AI34" s="101">
        <f t="shared" si="7"/>
        <v>0</v>
      </c>
      <c r="AJ34" s="118">
        <f t="shared" si="19"/>
        <v>0</v>
      </c>
      <c r="AK34" s="119">
        <f t="shared" si="8"/>
        <v>0</v>
      </c>
      <c r="AL34" s="101">
        <f t="shared" si="9"/>
        <v>0</v>
      </c>
      <c r="AM34" s="43">
        <f t="shared" si="20"/>
        <v>0</v>
      </c>
      <c r="AN34" s="118">
        <f t="shared" si="21"/>
        <v>0</v>
      </c>
      <c r="AO34" s="122">
        <f t="shared" si="10"/>
        <v>0</v>
      </c>
      <c r="AP34" s="107">
        <f t="shared" si="11"/>
        <v>0</v>
      </c>
      <c r="AQ34" s="107">
        <f t="shared" si="12"/>
        <v>0</v>
      </c>
      <c r="AR34" s="123">
        <f t="shared" si="13"/>
        <v>0</v>
      </c>
      <c r="AS34" s="124">
        <f t="shared" si="14"/>
        <v>0</v>
      </c>
      <c r="AT34" s="124">
        <f t="shared" si="15"/>
        <v>0</v>
      </c>
      <c r="AU34" s="124">
        <f t="shared" si="16"/>
        <v>0</v>
      </c>
      <c r="AV34" s="117" t="s">
        <v>6</v>
      </c>
      <c r="AW34" s="129">
        <f>IF(($R$40=AV34)*AND($R$41&lt;&gt;""),VLOOKUP($R$41,'Barèmes police'!$AF$40:$AG$66,2),0)</f>
        <v>0</v>
      </c>
      <c r="AX34" s="129"/>
      <c r="AY34" s="129"/>
      <c r="AZ34" s="154"/>
      <c r="BA34" s="154"/>
      <c r="BB34" s="154"/>
      <c r="BC34" s="154"/>
      <c r="BD34" s="154"/>
      <c r="BE34" s="154"/>
      <c r="BF34" s="154"/>
    </row>
    <row r="35" spans="1:58" ht="12.75" customHeight="1" x14ac:dyDescent="0.2">
      <c r="A35" s="34"/>
      <c r="B35" s="24" t="str">
        <f t="shared" si="0"/>
        <v>Di</v>
      </c>
      <c r="C35" s="25">
        <f t="shared" si="22"/>
        <v>45410</v>
      </c>
      <c r="D35" s="51"/>
      <c r="E35" s="116"/>
      <c r="F35" s="52"/>
      <c r="G35" s="53"/>
      <c r="H35" s="54"/>
      <c r="I35" s="55"/>
      <c r="J35" s="54"/>
      <c r="K35" s="55"/>
      <c r="L35" s="40">
        <f t="shared" si="1"/>
        <v>0</v>
      </c>
      <c r="M35" s="41">
        <f t="shared" si="23"/>
        <v>0.31666666666666665</v>
      </c>
      <c r="N35" s="42">
        <f>IF(AND(D35&lt;&gt;"Jour libre 4/5",B35&lt;&gt;"Sa",B35&lt;&gt;"Di"),SUM(N34,Configuration!$H$41),SUM(N34))</f>
        <v>12.983333333333325</v>
      </c>
      <c r="O35" s="49" t="str">
        <f t="shared" si="24"/>
        <v>-</v>
      </c>
      <c r="P35" s="143">
        <f t="shared" si="17"/>
        <v>12.666666666666659</v>
      </c>
      <c r="Q35" s="167">
        <f t="shared" si="18"/>
        <v>0</v>
      </c>
      <c r="R35" s="168">
        <f t="shared" si="18"/>
        <v>0</v>
      </c>
      <c r="S35" s="168">
        <f t="shared" si="18"/>
        <v>0</v>
      </c>
      <c r="T35" s="169">
        <f t="shared" si="18"/>
        <v>0</v>
      </c>
      <c r="U35" s="97">
        <f t="shared" si="2"/>
        <v>0</v>
      </c>
      <c r="V35" s="97">
        <f t="shared" si="3"/>
        <v>0</v>
      </c>
      <c r="W35" s="97">
        <f t="shared" si="4"/>
        <v>0</v>
      </c>
      <c r="X35" s="97">
        <f t="shared" si="5"/>
        <v>0</v>
      </c>
      <c r="Y35" s="209"/>
      <c r="Z35" s="210"/>
      <c r="AA35" s="210"/>
      <c r="AB35" s="128">
        <f>IF(AND(D35="Jour férié semaine",((G35-F35)+(I35-H35)+(K35-J35)=0)),VLOOKUP(D35,Systeemgegevens!$J:$K,2,FALSE),0)</f>
        <v>0</v>
      </c>
      <c r="AC35" s="43">
        <f>IF(AND(NOT(ISERROR(FIND("Congé",D35))),ISERROR(FIND("1/2",D35)),ISERROR(FIND("Synd",D35)),ISERROR(FIND("synd",D35)),(G35-F35+I35-H35+K35-J35)=0),VLOOKUP(D35,Systeemgegevens!$J:$K,2,FALSE),IF(AND(NOT(ISERROR(FIND("1/2 Congé + ",D35))),(G35-F35+I35-H35+K35-J35)=0),VLOOKUP(D35,Systeemgegevens!$J:$K,2,FALSE)/2,IF(AND(NOT(ISERROR(FIND("1/2 Congé",D35))),ISERROR(FIND(" + ",D35)),ISERROR(FIND("1/2 Congé Synd.",D35))),VLOOKUP(D35,Systeemgegevens!$J:$K,2,FALSE),0)))</f>
        <v>0</v>
      </c>
      <c r="AD35" s="43">
        <f>IF(AND(OR(D35="1/2 Congé Synd.",D35="Congé Synd."),((G35-F35)+(I35-H35)+(K35-J35)=0)),VLOOKUP(D35,Systeemgegevens!$J:$K,2,FALSE),IF(AND(D35="1/2 Congé + 1/2 synd.",((G35-F35)+(I35-H35)+(K35-J35)=0)),AC35,0))</f>
        <v>0</v>
      </c>
      <c r="AE35" s="43">
        <f>IF(AND(D35="Jour de pont",((G35-F35)+(I35-H35)+(K35-J35)=0)),VLOOKUP(D35,Systeemgegevens!$J:$K,2,FALSE),0)</f>
        <v>0</v>
      </c>
      <c r="AF35" s="43">
        <f>IF(AND(D35="Jour libre 4/5",AND((G35-F35)+(I35-H35)+(K35-J35)=0)),VLOOKUP(D35,Systeemgegevens!$J:$K,2,FALSE),0)</f>
        <v>0</v>
      </c>
      <c r="AG35" s="118">
        <f>IF(AND(D35&lt;&gt;"",SUM(AB35:AF35)=0,D35&lt;&gt;$AB$4,D35&lt;&gt;$AC$4,D35&lt;&gt;$AE$4,D35&lt;&gt;$AF$4),VLOOKUP(D35,Systeemgegevens!$J:$K,2,FALSE),0)</f>
        <v>0</v>
      </c>
      <c r="AH35" s="119">
        <f t="shared" si="6"/>
        <v>0</v>
      </c>
      <c r="AI35" s="101">
        <f t="shared" si="7"/>
        <v>0</v>
      </c>
      <c r="AJ35" s="118">
        <f t="shared" si="19"/>
        <v>0</v>
      </c>
      <c r="AK35" s="119">
        <f t="shared" si="8"/>
        <v>0</v>
      </c>
      <c r="AL35" s="101">
        <f t="shared" si="9"/>
        <v>0</v>
      </c>
      <c r="AM35" s="43">
        <f t="shared" si="20"/>
        <v>0</v>
      </c>
      <c r="AN35" s="118">
        <f t="shared" si="21"/>
        <v>0</v>
      </c>
      <c r="AO35" s="122">
        <f t="shared" si="10"/>
        <v>0</v>
      </c>
      <c r="AP35" s="107">
        <f t="shared" si="11"/>
        <v>0</v>
      </c>
      <c r="AQ35" s="107">
        <f t="shared" si="12"/>
        <v>0</v>
      </c>
      <c r="AR35" s="123">
        <f t="shared" si="13"/>
        <v>0</v>
      </c>
      <c r="AS35" s="124">
        <f t="shared" si="14"/>
        <v>0</v>
      </c>
      <c r="AT35" s="124">
        <f t="shared" si="15"/>
        <v>0</v>
      </c>
      <c r="AU35" s="124">
        <f t="shared" si="16"/>
        <v>0</v>
      </c>
      <c r="AV35" s="117" t="s">
        <v>11</v>
      </c>
      <c r="AW35" s="129">
        <f>IF(($R$40=AV35)*AND($R$41&lt;&gt;""),VLOOKUP($R$41,'Barèmes police'!$K$40:$L$66,2),0)</f>
        <v>0</v>
      </c>
      <c r="AX35" s="129"/>
      <c r="AY35" s="129"/>
      <c r="AZ35" s="154"/>
      <c r="BA35" s="154"/>
      <c r="BB35" s="154"/>
      <c r="BC35" s="154"/>
      <c r="BD35" s="154"/>
      <c r="BE35" s="154"/>
      <c r="BF35" s="154"/>
    </row>
    <row r="36" spans="1:58" ht="12.75" customHeight="1" x14ac:dyDescent="0.2">
      <c r="A36" s="34"/>
      <c r="B36" s="24" t="str">
        <f t="shared" si="0"/>
        <v>Lu</v>
      </c>
      <c r="C36" s="25">
        <f t="shared" si="22"/>
        <v>45411</v>
      </c>
      <c r="D36" s="51"/>
      <c r="E36" s="116"/>
      <c r="F36" s="52"/>
      <c r="G36" s="53"/>
      <c r="H36" s="54"/>
      <c r="I36" s="55"/>
      <c r="J36" s="54"/>
      <c r="K36" s="55"/>
      <c r="L36" s="40">
        <f t="shared" si="1"/>
        <v>0</v>
      </c>
      <c r="M36" s="41">
        <f t="shared" si="23"/>
        <v>0.31666666666666665</v>
      </c>
      <c r="N36" s="42">
        <f>IF(AND(D36&lt;&gt;"Jour libre 4/5",B36&lt;&gt;"Sa",B36&lt;&gt;"Di"),SUM(N35,Configuration!$H$41),SUM(N35))</f>
        <v>13.299999999999992</v>
      </c>
      <c r="O36" s="49" t="str">
        <f t="shared" si="24"/>
        <v>-</v>
      </c>
      <c r="P36" s="143">
        <f t="shared" si="17"/>
        <v>12.983333333333325</v>
      </c>
      <c r="Q36" s="167">
        <f t="shared" si="18"/>
        <v>0</v>
      </c>
      <c r="R36" s="168">
        <f t="shared" si="18"/>
        <v>0</v>
      </c>
      <c r="S36" s="168">
        <f t="shared" si="18"/>
        <v>0</v>
      </c>
      <c r="T36" s="169">
        <f t="shared" si="18"/>
        <v>0</v>
      </c>
      <c r="U36" s="97">
        <f t="shared" si="2"/>
        <v>0</v>
      </c>
      <c r="V36" s="97">
        <f t="shared" si="3"/>
        <v>0</v>
      </c>
      <c r="W36" s="97">
        <f t="shared" si="4"/>
        <v>0</v>
      </c>
      <c r="X36" s="97">
        <f t="shared" si="5"/>
        <v>0</v>
      </c>
      <c r="Y36" s="209"/>
      <c r="Z36" s="210"/>
      <c r="AA36" s="210"/>
      <c r="AB36" s="128">
        <f>IF(AND(D36="Jour férié semaine",((G36-F36)+(I36-H36)+(K36-J36)=0)),VLOOKUP(D36,Systeemgegevens!$J:$K,2,FALSE),0)</f>
        <v>0</v>
      </c>
      <c r="AC36" s="43">
        <f>IF(AND(NOT(ISERROR(FIND("Congé",D36))),ISERROR(FIND("1/2",D36)),ISERROR(FIND("Synd",D36)),ISERROR(FIND("synd",D36)),(G36-F36+I36-H36+K36-J36)=0),VLOOKUP(D36,Systeemgegevens!$J:$K,2,FALSE),IF(AND(NOT(ISERROR(FIND("1/2 Congé + ",D36))),(G36-F36+I36-H36+K36-J36)=0),VLOOKUP(D36,Systeemgegevens!$J:$K,2,FALSE)/2,IF(AND(NOT(ISERROR(FIND("1/2 Congé",D36))),ISERROR(FIND(" + ",D36)),ISERROR(FIND("1/2 Congé Synd.",D36))),VLOOKUP(D36,Systeemgegevens!$J:$K,2,FALSE),0)))</f>
        <v>0</v>
      </c>
      <c r="AD36" s="43">
        <f>IF(AND(OR(D36="1/2 Congé Synd.",D36="Congé Synd."),((G36-F36)+(I36-H36)+(K36-J36)=0)),VLOOKUP(D36,Systeemgegevens!$J:$K,2,FALSE),IF(AND(D36="1/2 Congé + 1/2 synd.",((G36-F36)+(I36-H36)+(K36-J36)=0)),AC36,0))</f>
        <v>0</v>
      </c>
      <c r="AE36" s="43">
        <f>IF(AND(D36="Jour de pont",((G36-F36)+(I36-H36)+(K36-J36)=0)),VLOOKUP(D36,Systeemgegevens!$J:$K,2,FALSE),0)</f>
        <v>0</v>
      </c>
      <c r="AF36" s="43">
        <f>IF(AND(D36="Jour libre 4/5",AND((G36-F36)+(I36-H36)+(K36-J36)=0)),VLOOKUP(D36,Systeemgegevens!$J:$K,2,FALSE),0)</f>
        <v>0</v>
      </c>
      <c r="AG36" s="118">
        <f>IF(AND(D36&lt;&gt;"",SUM(AB36:AF36)=0,D36&lt;&gt;$AB$4,D36&lt;&gt;$AC$4,D36&lt;&gt;$AE$4,D36&lt;&gt;$AF$4),VLOOKUP(D36,Systeemgegevens!$J:$K,2,FALSE),0)</f>
        <v>0</v>
      </c>
      <c r="AH36" s="119">
        <f t="shared" si="6"/>
        <v>0</v>
      </c>
      <c r="AI36" s="101">
        <f t="shared" si="7"/>
        <v>0</v>
      </c>
      <c r="AJ36" s="118">
        <f t="shared" si="19"/>
        <v>0</v>
      </c>
      <c r="AK36" s="119">
        <f t="shared" si="8"/>
        <v>0</v>
      </c>
      <c r="AL36" s="101">
        <f t="shared" si="9"/>
        <v>0</v>
      </c>
      <c r="AM36" s="43">
        <f t="shared" si="20"/>
        <v>0</v>
      </c>
      <c r="AN36" s="118">
        <f t="shared" si="21"/>
        <v>0</v>
      </c>
      <c r="AO36" s="122">
        <f t="shared" si="10"/>
        <v>0</v>
      </c>
      <c r="AP36" s="107">
        <f t="shared" si="11"/>
        <v>0</v>
      </c>
      <c r="AQ36" s="107">
        <f t="shared" si="12"/>
        <v>0</v>
      </c>
      <c r="AR36" s="123">
        <f t="shared" si="13"/>
        <v>0</v>
      </c>
      <c r="AS36" s="124">
        <f t="shared" si="14"/>
        <v>0</v>
      </c>
      <c r="AT36" s="124">
        <f t="shared" si="15"/>
        <v>0</v>
      </c>
      <c r="AU36" s="124">
        <f t="shared" si="16"/>
        <v>0</v>
      </c>
      <c r="AV36" s="117" t="s">
        <v>2</v>
      </c>
      <c r="AW36" s="129">
        <f>IF(($R$40=AV36)*AND($R$41&lt;&gt;""),VLOOKUP($R$41,'Barèmes police'!$AR$40:$AS$66,2),0)</f>
        <v>0</v>
      </c>
      <c r="AX36" s="129"/>
      <c r="AY36" s="129"/>
      <c r="AZ36" s="154"/>
      <c r="BA36" s="154"/>
      <c r="BB36" s="154"/>
      <c r="BC36" s="154"/>
      <c r="BD36" s="154"/>
      <c r="BE36" s="154"/>
      <c r="BF36" s="154"/>
    </row>
    <row r="37" spans="1:58" ht="12.75" customHeight="1" x14ac:dyDescent="0.2">
      <c r="A37" s="34"/>
      <c r="B37" s="196" t="str">
        <f t="shared" si="0"/>
        <v>Ma</v>
      </c>
      <c r="C37" s="25">
        <f t="shared" si="22"/>
        <v>45412</v>
      </c>
      <c r="D37" s="197"/>
      <c r="E37" s="56"/>
      <c r="F37" s="149"/>
      <c r="G37" s="150"/>
      <c r="H37" s="57"/>
      <c r="I37" s="58"/>
      <c r="J37" s="57"/>
      <c r="K37" s="58"/>
      <c r="L37" s="44">
        <f t="shared" si="1"/>
        <v>0</v>
      </c>
      <c r="M37" s="46">
        <f t="shared" si="23"/>
        <v>0.31666666666666665</v>
      </c>
      <c r="N37" s="198">
        <f>IF(AND(D37&lt;&gt;"Jour libre 4/5",B37&lt;&gt;"Sa",B37&lt;&gt;"Di"),SUM(N36,Configuration!$H$41),SUM(N36))</f>
        <v>13.616666666666658</v>
      </c>
      <c r="O37" s="50" t="str">
        <f t="shared" si="24"/>
        <v>-</v>
      </c>
      <c r="P37" s="142">
        <f t="shared" si="17"/>
        <v>13.299999999999992</v>
      </c>
      <c r="Q37" s="170">
        <f t="shared" si="18"/>
        <v>0</v>
      </c>
      <c r="R37" s="171">
        <f t="shared" si="18"/>
        <v>0</v>
      </c>
      <c r="S37" s="171">
        <f t="shared" si="18"/>
        <v>0</v>
      </c>
      <c r="T37" s="172">
        <f t="shared" si="18"/>
        <v>0</v>
      </c>
      <c r="U37" s="98">
        <f t="shared" si="2"/>
        <v>0</v>
      </c>
      <c r="V37" s="98">
        <f t="shared" si="3"/>
        <v>0</v>
      </c>
      <c r="W37" s="98">
        <f t="shared" si="4"/>
        <v>0</v>
      </c>
      <c r="X37" s="98">
        <f t="shared" si="5"/>
        <v>0</v>
      </c>
      <c r="Y37" s="211"/>
      <c r="Z37" s="212"/>
      <c r="AA37" s="212"/>
      <c r="AB37" s="128">
        <f>IF(AND(D37="Jour férié semaine",((G37-F37)+(I37-H37)+(K37-J37)=0)),VLOOKUP(D37,Systeemgegevens!$J:$K,2,FALSE),0)</f>
        <v>0</v>
      </c>
      <c r="AC37" s="43">
        <f>IF(AND(NOT(ISERROR(FIND("Congé",D37))),ISERROR(FIND("1/2",D37)),ISERROR(FIND("Synd",D37)),ISERROR(FIND("synd",D37)),(G37-F37+I37-H37+K37-J37)=0),VLOOKUP(D37,Systeemgegevens!$J:$K,2,FALSE),IF(AND(NOT(ISERROR(FIND("1/2 Congé + ",D37))),(G37-F37+I37-H37+K37-J37)=0),VLOOKUP(D37,Systeemgegevens!$J:$K,2,FALSE)/2,IF(AND(NOT(ISERROR(FIND("1/2 Congé",D37))),ISERROR(FIND(" + ",D37)),ISERROR(FIND("1/2 Congé Synd.",D37))),VLOOKUP(D37,Systeemgegevens!$J:$K,2,FALSE),0)))</f>
        <v>0</v>
      </c>
      <c r="AD37" s="43">
        <f>IF(AND(OR(D37="1/2 Congé Synd.",D37="Congé Synd."),((G37-F37)+(I37-H37)+(K37-J37)=0)),VLOOKUP(D37,Systeemgegevens!$J:$K,2,FALSE),IF(AND(D37="1/2 Congé + 1/2 synd.",((G37-F37)+(I37-H37)+(K37-J37)=0)),AC37,0))</f>
        <v>0</v>
      </c>
      <c r="AE37" s="43">
        <f>IF(AND(D37="Jour de pont",((G37-F37)+(I37-H37)+(K37-J37)=0)),VLOOKUP(D37,Systeemgegevens!$J:$K,2,FALSE),0)</f>
        <v>0</v>
      </c>
      <c r="AF37" s="43">
        <f>IF(AND(D37="Jour libre 4/5",AND((G37-F37)+(I37-H37)+(K37-J37)=0)),VLOOKUP(D37,Systeemgegevens!$J:$K,2,FALSE),0)</f>
        <v>0</v>
      </c>
      <c r="AG37" s="118">
        <f>IF(AND(D37&lt;&gt;"",SUM(AB37:AF37)=0,D37&lt;&gt;$AB$4,D37&lt;&gt;$AC$4,D37&lt;&gt;$AE$4,D37&lt;&gt;$AF$4),VLOOKUP(D37,Systeemgegevens!$J:$K,2,FALSE),0)</f>
        <v>0</v>
      </c>
      <c r="AH37" s="119">
        <f t="shared" si="6"/>
        <v>0</v>
      </c>
      <c r="AI37" s="101">
        <f t="shared" si="7"/>
        <v>0</v>
      </c>
      <c r="AJ37" s="118">
        <f t="shared" si="19"/>
        <v>0</v>
      </c>
      <c r="AK37" s="119">
        <f t="shared" si="8"/>
        <v>0</v>
      </c>
      <c r="AL37" s="101">
        <f t="shared" si="9"/>
        <v>0</v>
      </c>
      <c r="AM37" s="43">
        <f t="shared" si="20"/>
        <v>0</v>
      </c>
      <c r="AN37" s="118">
        <f t="shared" si="21"/>
        <v>0</v>
      </c>
      <c r="AO37" s="122">
        <f t="shared" si="10"/>
        <v>0</v>
      </c>
      <c r="AP37" s="107">
        <f t="shared" si="11"/>
        <v>0</v>
      </c>
      <c r="AQ37" s="107">
        <f t="shared" si="12"/>
        <v>0</v>
      </c>
      <c r="AR37" s="123">
        <f t="shared" si="13"/>
        <v>0</v>
      </c>
      <c r="AS37" s="124">
        <f t="shared" si="14"/>
        <v>0</v>
      </c>
      <c r="AT37" s="124">
        <f t="shared" si="15"/>
        <v>0</v>
      </c>
      <c r="AU37" s="124">
        <f t="shared" si="16"/>
        <v>0</v>
      </c>
      <c r="AV37" s="117" t="s">
        <v>269</v>
      </c>
      <c r="AW37" s="129">
        <f>IF(($R$40=AV37)*AND($R$41&lt;&gt;""),VLOOKUP($R$41,'Barèmes police'!$AU$40:$AV$66,2),0)</f>
        <v>0</v>
      </c>
      <c r="AX37" s="129"/>
      <c r="AY37" s="129"/>
      <c r="AZ37" s="154"/>
      <c r="BA37" s="154"/>
      <c r="BB37" s="154"/>
      <c r="BC37" s="154"/>
      <c r="BD37" s="154"/>
      <c r="BE37" s="154"/>
      <c r="BF37" s="154"/>
    </row>
    <row r="38" spans="1:58" ht="12.75" customHeight="1" x14ac:dyDescent="0.2">
      <c r="C38" s="281"/>
      <c r="AX38" s="129"/>
      <c r="AY38" s="129"/>
    </row>
    <row r="39" spans="1:58" ht="12.75" customHeight="1" x14ac:dyDescent="0.2">
      <c r="J39" s="215"/>
      <c r="K39" s="215"/>
      <c r="L39" s="215"/>
      <c r="M39" s="216"/>
      <c r="N39" s="215"/>
      <c r="O39" s="217"/>
      <c r="P39" s="215"/>
      <c r="Q39" s="215"/>
      <c r="R39" s="215"/>
      <c r="S39" s="215"/>
      <c r="T39" s="215"/>
      <c r="U39" s="217"/>
      <c r="V39" s="217"/>
      <c r="W39" s="416" t="s">
        <v>212</v>
      </c>
      <c r="X39" s="417"/>
      <c r="Y39" s="23"/>
      <c r="Z39" s="218"/>
      <c r="AA39" s="218"/>
      <c r="AV39" s="117" t="s">
        <v>8</v>
      </c>
      <c r="AW39" s="129">
        <f>IF(($R$40=AV39)*AND($R$41&lt;&gt;""),VLOOKUP($R$41,'Barèmes police'!$Z$40:$AA$66,2),0)</f>
        <v>0</v>
      </c>
      <c r="AX39" s="129"/>
      <c r="AY39" s="129"/>
    </row>
    <row r="40" spans="1:58" ht="12.75" customHeight="1" x14ac:dyDescent="0.2">
      <c r="B40" s="475" t="s">
        <v>201</v>
      </c>
      <c r="C40" s="414"/>
      <c r="D40" s="398"/>
      <c r="E40" s="397" t="s">
        <v>202</v>
      </c>
      <c r="F40" s="398"/>
      <c r="G40" s="414" t="s">
        <v>243</v>
      </c>
      <c r="H40" s="415"/>
      <c r="J40" s="407" t="s">
        <v>234</v>
      </c>
      <c r="K40" s="408"/>
      <c r="L40" s="408"/>
      <c r="M40" s="408"/>
      <c r="N40" s="408"/>
      <c r="O40" s="219"/>
      <c r="P40" s="220"/>
      <c r="Q40" s="220"/>
      <c r="R40" s="405" t="s">
        <v>36</v>
      </c>
      <c r="S40" s="406"/>
      <c r="T40" s="402" t="s">
        <v>213</v>
      </c>
      <c r="U40" s="403"/>
      <c r="V40" s="404"/>
      <c r="W40" s="221">
        <v>1</v>
      </c>
      <c r="X40" s="222" t="s">
        <v>54</v>
      </c>
      <c r="Y40" s="23"/>
      <c r="Z40" s="383" t="s">
        <v>75</v>
      </c>
      <c r="AA40" s="384"/>
      <c r="AV40" s="117" t="s">
        <v>5</v>
      </c>
      <c r="AW40" s="129">
        <f>IF(($R$40=AV40)*AND($R$41&lt;&gt;""),VLOOKUP($R$41,'Barèmes police'!$AI$40:$AJ$66,2),0)</f>
        <v>0</v>
      </c>
      <c r="AX40" s="129"/>
      <c r="AY40" s="129"/>
    </row>
    <row r="41" spans="1:58" ht="12.75" customHeight="1" x14ac:dyDescent="0.2">
      <c r="B41" s="476" t="s">
        <v>205</v>
      </c>
      <c r="C41" s="477"/>
      <c r="D41" s="478"/>
      <c r="E41" s="412">
        <f>Mar!E46</f>
        <v>34</v>
      </c>
      <c r="F41" s="413"/>
      <c r="G41" s="399">
        <f>Mar!G46</f>
        <v>10.766666666666666</v>
      </c>
      <c r="H41" s="399"/>
      <c r="J41" s="223"/>
      <c r="K41" s="224"/>
      <c r="L41" s="224"/>
      <c r="M41" s="224"/>
      <c r="N41" s="224"/>
      <c r="O41" s="225"/>
      <c r="P41" s="226"/>
      <c r="Q41" s="226"/>
      <c r="R41" s="464">
        <v>0</v>
      </c>
      <c r="S41" s="465"/>
      <c r="T41" s="466">
        <f>SUM(AW8:AW201)</f>
        <v>14703.88</v>
      </c>
      <c r="U41" s="467"/>
      <c r="V41" s="468"/>
      <c r="W41" s="213">
        <v>13409.11</v>
      </c>
      <c r="X41" s="214">
        <v>12735.61</v>
      </c>
      <c r="Y41" s="23"/>
      <c r="Z41" s="457">
        <v>2.0398999999999998</v>
      </c>
      <c r="AA41" s="458"/>
      <c r="AV41" s="117" t="s">
        <v>10</v>
      </c>
      <c r="AW41" s="129">
        <f>IF(($R$40=AV41)*AND($R$41&lt;&gt;""),VLOOKUP($R$41,'Barèmes police'!$N$40:$O$66,2),0)</f>
        <v>0</v>
      </c>
      <c r="AX41" s="129"/>
      <c r="AY41" s="129"/>
    </row>
    <row r="42" spans="1:58" ht="12.75" customHeight="1" x14ac:dyDescent="0.2">
      <c r="B42" s="476" t="s">
        <v>203</v>
      </c>
      <c r="C42" s="477"/>
      <c r="D42" s="478"/>
      <c r="E42" s="459">
        <v>0</v>
      </c>
      <c r="F42" s="460"/>
      <c r="G42" s="463">
        <f>E42*Configuration!$H$41</f>
        <v>0</v>
      </c>
      <c r="H42" s="463"/>
      <c r="J42" s="227" t="s">
        <v>215</v>
      </c>
      <c r="K42" s="228"/>
      <c r="L42" s="229"/>
      <c r="M42" s="230">
        <f>IF(MINUTE(SUM(U8:U38))&gt;=30,SUM(U8:U38)+(TIME(1,0,0))-TIME(0,MINUTE(SUM(U8:U38)),0),SUM(U8:U38)-TIME(0,MINUTE(SUM(U8:U38)),0))</f>
        <v>0</v>
      </c>
      <c r="N42" s="219" t="s">
        <v>190</v>
      </c>
      <c r="O42" s="231"/>
      <c r="P42" s="220"/>
      <c r="Q42" s="220"/>
      <c r="R42" s="232"/>
      <c r="S42" s="354">
        <f>IF($R$2="Oui",(M42*AK43*24),0)</f>
        <v>0</v>
      </c>
      <c r="T42" s="355"/>
      <c r="U42" s="355"/>
      <c r="V42" s="233" t="s">
        <v>55</v>
      </c>
      <c r="W42" s="234">
        <f>IF($R$3="Oui",M42*AK48*24,0)</f>
        <v>0</v>
      </c>
      <c r="X42" s="235" t="s">
        <v>55</v>
      </c>
      <c r="Y42" s="23"/>
      <c r="Z42" s="218"/>
      <c r="AA42" s="218"/>
      <c r="AB42" s="352" t="s">
        <v>66</v>
      </c>
      <c r="AC42" s="353"/>
      <c r="AD42" s="353"/>
      <c r="AE42" s="130">
        <f>T41*Z41</f>
        <v>29994.444811999994</v>
      </c>
      <c r="AG42" s="352" t="s">
        <v>64</v>
      </c>
      <c r="AH42" s="353"/>
      <c r="AI42" s="353"/>
      <c r="AJ42" s="353"/>
      <c r="AK42" s="130">
        <f>T41*Z41/1850</f>
        <v>16.213213411891889</v>
      </c>
      <c r="AM42" s="389" t="s">
        <v>163</v>
      </c>
      <c r="AN42" s="390"/>
      <c r="AO42" s="390"/>
      <c r="AP42" s="390"/>
      <c r="AQ42" s="390"/>
      <c r="AR42" s="127"/>
      <c r="AV42" s="18" t="s">
        <v>4</v>
      </c>
      <c r="AW42" s="129">
        <f>IF(($R$40=AV42)*AND($R$41&lt;&gt;""),VLOOKUP($R$41,'Barèmes police'!$AL$40:$AM$66,2),0)</f>
        <v>0</v>
      </c>
      <c r="AX42" s="129"/>
      <c r="AY42" s="129"/>
    </row>
    <row r="43" spans="1:58" ht="12.75" customHeight="1" x14ac:dyDescent="0.2">
      <c r="B43" s="476" t="s">
        <v>260</v>
      </c>
      <c r="C43" s="477"/>
      <c r="D43" s="478"/>
      <c r="E43" s="412">
        <f>SUM(AU8:AU38)</f>
        <v>0</v>
      </c>
      <c r="F43" s="413"/>
      <c r="G43" s="399">
        <f>SUM(AU8:AU38)*Configuration!H41</f>
        <v>0</v>
      </c>
      <c r="H43" s="399"/>
      <c r="J43" s="236" t="s">
        <v>217</v>
      </c>
      <c r="K43" s="237"/>
      <c r="L43" s="238"/>
      <c r="M43" s="239">
        <f>IF(MINUTE(SUM(V8:V38))&gt;=30,SUM(V8:V38)+(TIME(1,0,0))-TIME(0,MINUTE(SUM(V8:V38)),0),SUM(V8:V38)-TIME(0,MINUTE(SUM(V8:V38)),0))</f>
        <v>0</v>
      </c>
      <c r="N43" s="225" t="s">
        <v>190</v>
      </c>
      <c r="O43" s="240"/>
      <c r="P43" s="226"/>
      <c r="Q43" s="226"/>
      <c r="R43" s="232"/>
      <c r="S43" s="354">
        <f>IF($R$2="Oui",M43*AK44*24,0)</f>
        <v>0</v>
      </c>
      <c r="T43" s="355"/>
      <c r="U43" s="355"/>
      <c r="V43" s="233" t="s">
        <v>55</v>
      </c>
      <c r="W43" s="23"/>
      <c r="X43" s="241"/>
      <c r="Y43" s="23"/>
      <c r="Z43" s="377" t="s">
        <v>211</v>
      </c>
      <c r="AA43" s="378"/>
      <c r="AB43" s="358" t="s">
        <v>67</v>
      </c>
      <c r="AC43" s="359"/>
      <c r="AD43" s="359"/>
      <c r="AE43" s="121">
        <f>AE42*0.075</f>
        <v>2249.5833608999997</v>
      </c>
      <c r="AG43" s="358" t="s">
        <v>65</v>
      </c>
      <c r="AH43" s="359"/>
      <c r="AI43" s="359"/>
      <c r="AJ43" s="359"/>
      <c r="AK43" s="136">
        <f>(AK42*0.9645)*AE48</f>
        <v>9.3231635529859105</v>
      </c>
      <c r="AM43" s="391" t="str">
        <f>IF(Configuration!$H$30="Dagen","Aantal dagen beschikbaar:","Aantal uren beschikbaar:")</f>
        <v>Aantal uren beschikbaar:</v>
      </c>
      <c r="AN43" s="392"/>
      <c r="AO43" s="392"/>
      <c r="AP43" s="392"/>
      <c r="AQ43" s="393">
        <f>IF(Configuration!H30="Dagen",Configuration!H45,Configuration!H45)</f>
        <v>99999</v>
      </c>
      <c r="AR43" s="394"/>
      <c r="AV43" s="18" t="s">
        <v>9</v>
      </c>
      <c r="AW43" s="129">
        <f>IF(($R$40=AV43)*AND($R$41&lt;&gt;""),VLOOKUP($R$41,'Barèmes police'!$Q$40:$R$66,2),0)</f>
        <v>0</v>
      </c>
      <c r="AX43" s="129"/>
      <c r="AY43" s="129"/>
    </row>
    <row r="44" spans="1:58" ht="12.75" customHeight="1" x14ac:dyDescent="0.2">
      <c r="B44" s="476" t="s">
        <v>204</v>
      </c>
      <c r="C44" s="477"/>
      <c r="D44" s="478"/>
      <c r="E44" s="412">
        <f>SUM(AC8:AC38)/Configuration!H41</f>
        <v>0</v>
      </c>
      <c r="F44" s="413"/>
      <c r="G44" s="399">
        <f>SUM(AC8:AC38)</f>
        <v>0</v>
      </c>
      <c r="H44" s="399"/>
      <c r="J44" s="236" t="s">
        <v>216</v>
      </c>
      <c r="K44" s="237"/>
      <c r="L44" s="238"/>
      <c r="M44" s="239">
        <f>IF(MINUTE(SUM(W8:W38))&gt;=30,SUM(W8:W38)+(TIME(1,0,0))-TIME(0,MINUTE(SUM(W8:W38)),0),SUM(W8:W38)-TIME(0,MINUTE(SUM(W8:W38)),0))</f>
        <v>0</v>
      </c>
      <c r="N44" s="237" t="s">
        <v>190</v>
      </c>
      <c r="O44" s="225"/>
      <c r="P44" s="225"/>
      <c r="Q44" s="225"/>
      <c r="R44" s="233"/>
      <c r="S44" s="354">
        <f>IF($R$2="Oui",M44*AK45*24,0)</f>
        <v>0</v>
      </c>
      <c r="T44" s="355"/>
      <c r="U44" s="355"/>
      <c r="V44" s="233" t="s">
        <v>55</v>
      </c>
      <c r="W44" s="234"/>
      <c r="X44" s="235"/>
      <c r="Y44" s="23"/>
      <c r="Z44" s="379"/>
      <c r="AA44" s="380"/>
      <c r="AB44" s="358" t="s">
        <v>68</v>
      </c>
      <c r="AC44" s="359"/>
      <c r="AD44" s="359"/>
      <c r="AE44" s="121">
        <f>AE42*0.0355</f>
        <v>1064.8027908259996</v>
      </c>
      <c r="AG44" s="358" t="s">
        <v>77</v>
      </c>
      <c r="AH44" s="359"/>
      <c r="AI44" s="359"/>
      <c r="AJ44" s="359"/>
      <c r="AK44" s="136">
        <f>AK43*0.2</f>
        <v>1.8646327105971823</v>
      </c>
      <c r="AM44" s="391" t="str">
        <f>IF(Configuration!$H$30="Dagen","Opgenomen Congé Synd.dagen:","Opgenomen Congé Synd.uren:")</f>
        <v>Opgenomen Congé Synd.uren:</v>
      </c>
      <c r="AN44" s="392"/>
      <c r="AO44" s="392"/>
      <c r="AP44" s="392"/>
      <c r="AQ44" s="469">
        <f>IF(Configuration!$H$30="Dagen",SUM(AD8:AD38)/Configuration!H41,SUM(AD8:AD38))</f>
        <v>0</v>
      </c>
      <c r="AR44" s="470"/>
      <c r="AV44" s="18" t="s">
        <v>3</v>
      </c>
      <c r="AW44" s="129">
        <f>IF(($R$40=AV44)*AND($R$41&lt;&gt;""),VLOOKUP($R$41,'Barèmes police'!$AO$40:$AP$66,2),0)</f>
        <v>0</v>
      </c>
    </row>
    <row r="45" spans="1:58" ht="12.75" customHeight="1" x14ac:dyDescent="0.2">
      <c r="B45" s="409" t="s">
        <v>254</v>
      </c>
      <c r="C45" s="410"/>
      <c r="D45" s="411"/>
      <c r="E45" s="461">
        <f>E41+E42+E43-E44</f>
        <v>34</v>
      </c>
      <c r="F45" s="462"/>
      <c r="G45" s="400">
        <f>G41+G42+G43-G44</f>
        <v>10.766666666666666</v>
      </c>
      <c r="H45" s="401"/>
      <c r="J45" s="236" t="s">
        <v>218</v>
      </c>
      <c r="K45" s="237"/>
      <c r="L45" s="238"/>
      <c r="M45" s="239">
        <f>IF(MINUTE(SUM(X8:X38))&gt;=30,SUM(X8:X38)+(TIME(1,0,0))-TIME(0,MINUTE(SUM(X8:X38)),0),SUM(X8:X38)-TIME(0,MINUTE(SUM(X8:X38)),0))</f>
        <v>0</v>
      </c>
      <c r="N45" s="237" t="s">
        <v>190</v>
      </c>
      <c r="O45" s="225"/>
      <c r="P45" s="225"/>
      <c r="Q45" s="225"/>
      <c r="R45" s="233"/>
      <c r="S45" s="242"/>
      <c r="T45" s="242"/>
      <c r="U45" s="242"/>
      <c r="V45" s="243"/>
      <c r="W45" s="234">
        <f>IF($R$3="Oui",M45*AK51*24,0)</f>
        <v>0</v>
      </c>
      <c r="X45" s="235" t="s">
        <v>55</v>
      </c>
      <c r="Y45" s="23"/>
      <c r="Z45" s="381">
        <f>AE47</f>
        <v>0.40380000000000005</v>
      </c>
      <c r="AA45" s="382"/>
      <c r="AB45" s="348" t="s">
        <v>69</v>
      </c>
      <c r="AC45" s="349"/>
      <c r="AD45" s="349"/>
      <c r="AE45" s="132">
        <f>AE42-AE43-AE44</f>
        <v>26680.058660273993</v>
      </c>
      <c r="AG45" s="348" t="s">
        <v>78</v>
      </c>
      <c r="AH45" s="349"/>
      <c r="AI45" s="349"/>
      <c r="AJ45" s="349"/>
      <c r="AK45" s="132">
        <f>AK43*0.35</f>
        <v>3.2631072435450683</v>
      </c>
      <c r="AM45" s="375" t="str">
        <f>IF(Configuration!$H$30="Dagen","Resterend aantal dagen:","Resterend aantal uren:")</f>
        <v>Resterend aantal uren:</v>
      </c>
      <c r="AN45" s="376"/>
      <c r="AO45" s="376"/>
      <c r="AP45" s="376"/>
      <c r="AQ45" s="366">
        <f>AQ43-AQ44</f>
        <v>99999</v>
      </c>
      <c r="AR45" s="367"/>
      <c r="AV45" s="18" t="s">
        <v>1</v>
      </c>
      <c r="AW45" s="129">
        <f>IF(($R$40=AV45)*AND($R$41&lt;&gt;""),VLOOKUP($R$41,'Barèmes police'!$T$40:$U$69,2),0)</f>
        <v>0</v>
      </c>
    </row>
    <row r="46" spans="1:58" ht="12.75" customHeight="1" x14ac:dyDescent="0.2">
      <c r="B46" s="23"/>
      <c r="C46" s="23"/>
      <c r="D46" s="23"/>
      <c r="E46" s="23"/>
      <c r="F46" s="23"/>
      <c r="G46" s="23"/>
      <c r="J46" s="236" t="s">
        <v>219</v>
      </c>
      <c r="K46" s="237"/>
      <c r="L46" s="238"/>
      <c r="M46" s="244">
        <f>COUNTIF($Q$8:$Q$37,"1")</f>
        <v>0</v>
      </c>
      <c r="N46" s="225"/>
      <c r="O46" s="362" t="s">
        <v>223</v>
      </c>
      <c r="P46" s="363"/>
      <c r="Q46" s="363"/>
      <c r="R46" s="245">
        <f>COUNTIF($Q$8:$Q$37,"2")</f>
        <v>0</v>
      </c>
      <c r="S46" s="354">
        <f>IF($R$2="Oui",(M46*AE51*Z41+(R46*Z41*2.48)),0)</f>
        <v>0</v>
      </c>
      <c r="T46" s="355"/>
      <c r="U46" s="355"/>
      <c r="V46" s="233" t="s">
        <v>55</v>
      </c>
      <c r="W46" s="234">
        <f>IF($R$3="Oui",(M46*AE51*Z41+(R46*AE51*6.2)),0)</f>
        <v>0</v>
      </c>
      <c r="X46" s="235" t="s">
        <v>55</v>
      </c>
      <c r="Y46" s="23"/>
      <c r="Z46" s="218"/>
      <c r="AA46" s="218"/>
      <c r="AV46" s="18" t="s">
        <v>0</v>
      </c>
      <c r="AW46" s="129">
        <f>IF(($R$40=AV46)*AND($R$41&lt;&gt;""),VLOOKUP($R$41,'Barèmes police'!$W$40:$X$69,2),0)</f>
        <v>0</v>
      </c>
    </row>
    <row r="47" spans="1:58" ht="12.75" customHeight="1" x14ac:dyDescent="0.2">
      <c r="B47" s="368" t="s">
        <v>206</v>
      </c>
      <c r="C47" s="369"/>
      <c r="D47" s="369"/>
      <c r="E47" s="369"/>
      <c r="F47" s="370" t="s">
        <v>179</v>
      </c>
      <c r="G47" s="371"/>
      <c r="J47" s="236" t="s">
        <v>220</v>
      </c>
      <c r="K47" s="237"/>
      <c r="L47" s="238"/>
      <c r="M47" s="244">
        <f>COUNTIF($R$8:$R$37,"1")</f>
        <v>0</v>
      </c>
      <c r="N47" s="225"/>
      <c r="O47" s="362" t="s">
        <v>224</v>
      </c>
      <c r="P47" s="363"/>
      <c r="Q47" s="363"/>
      <c r="R47" s="245">
        <f>COUNTIF($R$8:$R$37,"2")</f>
        <v>0</v>
      </c>
      <c r="S47" s="354">
        <f>IF($R$2="Oui",(M47*AE52*Z41+(R47*Z41*6.2)),0)</f>
        <v>0</v>
      </c>
      <c r="T47" s="355"/>
      <c r="U47" s="355"/>
      <c r="V47" s="233" t="s">
        <v>55</v>
      </c>
      <c r="W47" s="234">
        <f>IF($R$3="Oui",(M47*AE52*Z41+(R47*AE52*6.2)),0)</f>
        <v>0</v>
      </c>
      <c r="X47" s="235" t="s">
        <v>55</v>
      </c>
      <c r="Y47" s="23"/>
      <c r="Z47" s="383" t="s">
        <v>258</v>
      </c>
      <c r="AA47" s="384"/>
      <c r="AB47" s="352" t="s">
        <v>70</v>
      </c>
      <c r="AC47" s="353"/>
      <c r="AD47" s="353"/>
      <c r="AE47" s="134">
        <f>VLOOKUP(AE45,Systeemgegevens!C3:E14,3)/100</f>
        <v>0.40380000000000005</v>
      </c>
      <c r="AG47" s="352" t="s">
        <v>72</v>
      </c>
      <c r="AH47" s="353"/>
      <c r="AI47" s="353"/>
      <c r="AJ47" s="353"/>
      <c r="AK47" s="133">
        <f>X41*1.2434/1850</f>
        <v>8.5597067427027032</v>
      </c>
      <c r="AV47" s="18" t="s">
        <v>61</v>
      </c>
      <c r="AW47" s="129">
        <f>IF(($R$40=AV47)*AND($R$41&lt;&gt;""),VLOOKUP($R$41,'Barèmes police'!$BM$4:$BN$39,2),0)</f>
        <v>0</v>
      </c>
    </row>
    <row r="48" spans="1:58" s="141" customFormat="1" ht="12.75" customHeight="1" x14ac:dyDescent="0.2">
      <c r="A48" s="17"/>
      <c r="B48" s="17"/>
      <c r="C48" s="17"/>
      <c r="D48" s="17"/>
      <c r="E48" s="17"/>
      <c r="F48" s="17"/>
      <c r="G48" s="17"/>
      <c r="H48" s="17"/>
      <c r="I48" s="17"/>
      <c r="J48" s="236" t="s">
        <v>221</v>
      </c>
      <c r="K48" s="237"/>
      <c r="L48" s="238"/>
      <c r="M48" s="244">
        <f>COUNTIF($S$8:$S$37, "1")</f>
        <v>0</v>
      </c>
      <c r="N48" s="225"/>
      <c r="O48" s="362" t="s">
        <v>225</v>
      </c>
      <c r="P48" s="363"/>
      <c r="Q48" s="363"/>
      <c r="R48" s="245">
        <f>COUNTIF($S$8:$S$37, "2")</f>
        <v>0</v>
      </c>
      <c r="S48" s="354">
        <f>IF($R$2="Oui",(M48*AE53*Z41+(R48*Z41*6.2)),0)</f>
        <v>0</v>
      </c>
      <c r="T48" s="355"/>
      <c r="U48" s="355"/>
      <c r="V48" s="233" t="s">
        <v>55</v>
      </c>
      <c r="W48" s="234">
        <f>IF($R$3="Oui",(M48*AE53*Z41+(R48*AE53*6.2)),0)</f>
        <v>0</v>
      </c>
      <c r="X48" s="235" t="s">
        <v>55</v>
      </c>
      <c r="Y48" s="23"/>
      <c r="Z48" s="364">
        <v>0.23</v>
      </c>
      <c r="AA48" s="365"/>
      <c r="AB48" s="348" t="s">
        <v>71</v>
      </c>
      <c r="AC48" s="349"/>
      <c r="AD48" s="349"/>
      <c r="AE48" s="135">
        <f>1-AE47</f>
        <v>0.59619999999999995</v>
      </c>
      <c r="AG48" s="358" t="s">
        <v>73</v>
      </c>
      <c r="AH48" s="359"/>
      <c r="AI48" s="359"/>
      <c r="AJ48" s="359"/>
      <c r="AK48" s="121">
        <f>AK47*0.9645*AE48*1.45</f>
        <v>7.1370886606880939</v>
      </c>
      <c r="AV48" s="18" t="s">
        <v>263</v>
      </c>
      <c r="AW48" s="218">
        <f>IF(($R$40=AV48)*AND($R$41&lt;&gt;""),VLOOKUP($R$41,'Barèmes police'!$AX$40:$AY$70,2),0)</f>
        <v>0</v>
      </c>
      <c r="AZ48" s="17"/>
      <c r="BA48" s="17"/>
      <c r="BB48" s="17"/>
      <c r="BC48" s="17"/>
      <c r="BD48" s="17"/>
      <c r="BE48" s="17"/>
      <c r="BF48" s="17"/>
    </row>
    <row r="49" spans="1:58" s="141" customFormat="1" ht="12.75" customHeight="1" x14ac:dyDescent="0.2">
      <c r="A49" s="17"/>
      <c r="B49" s="372" t="s">
        <v>207</v>
      </c>
      <c r="C49" s="373"/>
      <c r="D49" s="373"/>
      <c r="E49" s="373"/>
      <c r="F49" s="373"/>
      <c r="G49" s="374"/>
      <c r="H49" s="17"/>
      <c r="I49" s="17"/>
      <c r="J49" s="236" t="s">
        <v>222</v>
      </c>
      <c r="K49" s="237"/>
      <c r="L49" s="238"/>
      <c r="M49" s="244">
        <f>COUNTIF($T$8:$T$37,"1")</f>
        <v>0</v>
      </c>
      <c r="N49" s="225"/>
      <c r="O49" s="362" t="s">
        <v>226</v>
      </c>
      <c r="P49" s="363"/>
      <c r="Q49" s="363"/>
      <c r="R49" s="245">
        <f>COUNTIF($T$8:$T$37,"2")</f>
        <v>0</v>
      </c>
      <c r="S49" s="354">
        <f>IF($R$2="Oui",(M49*AE54*Z41+(R49*Z41*3.48)),0)</f>
        <v>0</v>
      </c>
      <c r="T49" s="355"/>
      <c r="U49" s="355"/>
      <c r="V49" s="233" t="s">
        <v>55</v>
      </c>
      <c r="W49" s="234">
        <f>IF($R$3="Oui",(M49*AE54*Z41+(R49*AE54*6.2)),0)</f>
        <v>0</v>
      </c>
      <c r="X49" s="235" t="s">
        <v>55</v>
      </c>
      <c r="Y49" s="23"/>
      <c r="Z49" s="246"/>
      <c r="AA49" s="246"/>
      <c r="AB49" s="148"/>
      <c r="AC49" s="148"/>
      <c r="AD49" s="148"/>
      <c r="AE49" s="153"/>
      <c r="AG49" s="147"/>
      <c r="AH49" s="148"/>
      <c r="AI49" s="148"/>
      <c r="AJ49" s="148"/>
      <c r="AK49" s="121"/>
      <c r="AV49" s="18" t="s">
        <v>264</v>
      </c>
      <c r="AW49" s="218">
        <f>IF(($R$40=AV49)*AND($R$41&lt;&gt;""),VLOOKUP($R$41,'Barèmes police'!$BA$40:$BB$70,2),0)</f>
        <v>0</v>
      </c>
      <c r="AZ49" s="17"/>
      <c r="BA49" s="17"/>
      <c r="BB49" s="17"/>
      <c r="BC49" s="17"/>
      <c r="BD49" s="17"/>
      <c r="BE49" s="17"/>
      <c r="BF49" s="17"/>
    </row>
    <row r="50" spans="1:58" s="141" customFormat="1" ht="12.75" customHeight="1" x14ac:dyDescent="0.2">
      <c r="A50" s="17"/>
      <c r="B50" s="395" t="s">
        <v>208</v>
      </c>
      <c r="C50" s="396"/>
      <c r="D50" s="396"/>
      <c r="E50" s="396"/>
      <c r="F50" s="151"/>
      <c r="G50" s="152"/>
      <c r="H50" s="17"/>
      <c r="I50" s="17"/>
      <c r="J50" s="236" t="s">
        <v>227</v>
      </c>
      <c r="K50" s="237"/>
      <c r="L50" s="238"/>
      <c r="M50" s="239">
        <f>IF(P37-F51&gt;=1/49,IF(AND(O37="+",F47="Oui"),IF(MINUTE(P37-F51)&gt;=30,P37-F51+(TIME(1,0,0))-TIME(0,MINUTE(P37-F51),0),P37-F51-TIME(0,MINUTE(P37-F51),0)),0),0)</f>
        <v>0</v>
      </c>
      <c r="N50" s="225" t="s">
        <v>190</v>
      </c>
      <c r="O50" s="360" t="s">
        <v>253</v>
      </c>
      <c r="P50" s="360"/>
      <c r="Q50" s="360"/>
      <c r="R50" s="361"/>
      <c r="S50" s="354">
        <f>IF($R$2="Oui",M50*AK43*24,0)</f>
        <v>0</v>
      </c>
      <c r="T50" s="355"/>
      <c r="U50" s="355"/>
      <c r="V50" s="233" t="s">
        <v>55</v>
      </c>
      <c r="W50" s="234">
        <f>IF($R$3="Oui",M50*AK50*24,0)</f>
        <v>0</v>
      </c>
      <c r="X50" s="235" t="s">
        <v>55</v>
      </c>
      <c r="Y50" s="23"/>
      <c r="Z50" s="246"/>
      <c r="AA50" s="246"/>
      <c r="AG50" s="358" t="s">
        <v>74</v>
      </c>
      <c r="AH50" s="359"/>
      <c r="AI50" s="359"/>
      <c r="AJ50" s="359"/>
      <c r="AK50" s="121">
        <f>(W41*1.2434/1850)*0.9645*AE48</f>
        <v>5.1824281750374874</v>
      </c>
      <c r="AV50" s="18" t="s">
        <v>265</v>
      </c>
      <c r="AW50" s="218">
        <f>IF(($R$40=AV50)*AND($R$41&lt;&gt;""),VLOOKUP($R$41,'Barèmes police'!$BD$40:$BE$70,2),0)</f>
        <v>0</v>
      </c>
      <c r="AZ50" s="17"/>
      <c r="BA50" s="17"/>
      <c r="BB50" s="17"/>
      <c r="BC50" s="17"/>
      <c r="BD50" s="17"/>
      <c r="BE50" s="17"/>
      <c r="BF50" s="17"/>
    </row>
    <row r="51" spans="1:58" s="141" customFormat="1" ht="12.75" customHeight="1" x14ac:dyDescent="0.2">
      <c r="A51" s="17"/>
      <c r="B51" s="385" t="s">
        <v>209</v>
      </c>
      <c r="C51" s="386"/>
      <c r="D51" s="386"/>
      <c r="E51" s="386"/>
      <c r="F51" s="356">
        <v>0</v>
      </c>
      <c r="G51" s="357"/>
      <c r="H51" s="17"/>
      <c r="I51" s="17"/>
      <c r="J51" s="236" t="s">
        <v>228</v>
      </c>
      <c r="K51" s="237"/>
      <c r="L51" s="238"/>
      <c r="M51" s="247">
        <f>SUM(AT8:AT38)</f>
        <v>0</v>
      </c>
      <c r="N51" s="225" t="s">
        <v>214</v>
      </c>
      <c r="O51" s="360"/>
      <c r="P51" s="360"/>
      <c r="Q51" s="360"/>
      <c r="R51" s="361"/>
      <c r="S51" s="354">
        <f>IF($R$2="Oui",M51*6.7*Z41,0)</f>
        <v>0</v>
      </c>
      <c r="T51" s="355"/>
      <c r="U51" s="355"/>
      <c r="V51" s="233" t="s">
        <v>55</v>
      </c>
      <c r="W51" s="234">
        <f>IF($R$3="Oui",M51*6.7*Z41,0)</f>
        <v>0</v>
      </c>
      <c r="X51" s="235" t="s">
        <v>55</v>
      </c>
      <c r="Y51" s="23"/>
      <c r="Z51" s="246"/>
      <c r="AA51" s="246"/>
      <c r="AB51" s="352" t="s">
        <v>79</v>
      </c>
      <c r="AC51" s="353"/>
      <c r="AD51" s="353"/>
      <c r="AE51" s="133">
        <v>1.24</v>
      </c>
      <c r="AG51" s="348" t="s">
        <v>76</v>
      </c>
      <c r="AH51" s="349"/>
      <c r="AI51" s="349"/>
      <c r="AJ51" s="349"/>
      <c r="AK51" s="131">
        <f>AK47*0.325*0.9645*AE48</f>
        <v>1.5996922860162968</v>
      </c>
      <c r="AV51" s="18" t="s">
        <v>266</v>
      </c>
      <c r="AW51" s="218">
        <f>IF(($R$40=AV51)*AND($R$41&lt;&gt;""),VLOOKUP($R$41,'Barèmes police'!$BG$40:$BH$70,2),0)</f>
        <v>0</v>
      </c>
      <c r="AZ51" s="17"/>
      <c r="BA51" s="17"/>
      <c r="BB51" s="17"/>
      <c r="BC51" s="17"/>
      <c r="BD51" s="17"/>
      <c r="BE51" s="17"/>
      <c r="BF51" s="17"/>
    </row>
    <row r="52" spans="1:58" s="141" customFormat="1" ht="12.75" customHeight="1" x14ac:dyDescent="0.2">
      <c r="A52" s="17"/>
      <c r="B52" s="387" t="s">
        <v>210</v>
      </c>
      <c r="C52" s="388"/>
      <c r="D52" s="388"/>
      <c r="E52" s="388"/>
      <c r="F52" s="350">
        <v>0</v>
      </c>
      <c r="G52" s="351"/>
      <c r="H52" s="17"/>
      <c r="I52" s="17"/>
      <c r="J52" s="236" t="s">
        <v>229</v>
      </c>
      <c r="K52" s="237"/>
      <c r="L52" s="238"/>
      <c r="M52" s="244">
        <f>SUM(Y8:Y38)</f>
        <v>0</v>
      </c>
      <c r="N52" s="237" t="s">
        <v>56</v>
      </c>
      <c r="O52" s="248"/>
      <c r="P52" s="248"/>
      <c r="Q52" s="248"/>
      <c r="R52" s="249"/>
      <c r="S52" s="354">
        <f>IF($R$2="Oui",M52*Z48,0)</f>
        <v>0</v>
      </c>
      <c r="T52" s="355"/>
      <c r="U52" s="355"/>
      <c r="V52" s="233" t="s">
        <v>55</v>
      </c>
      <c r="W52" s="234">
        <f>IF($R$3="Oui",M52*Z48,0)</f>
        <v>0</v>
      </c>
      <c r="X52" s="235" t="s">
        <v>55</v>
      </c>
      <c r="Y52" s="23"/>
      <c r="Z52" s="246"/>
      <c r="AA52" s="246"/>
      <c r="AB52" s="358" t="s">
        <v>80</v>
      </c>
      <c r="AC52" s="359"/>
      <c r="AD52" s="359"/>
      <c r="AE52" s="121">
        <v>2.48</v>
      </c>
      <c r="AZ52" s="17"/>
      <c r="BA52" s="17"/>
      <c r="BB52" s="17"/>
      <c r="BC52" s="17"/>
      <c r="BD52" s="17"/>
      <c r="BE52" s="17"/>
      <c r="BF52" s="17"/>
    </row>
    <row r="53" spans="1:58" s="141" customFormat="1" ht="12.75" customHeight="1" x14ac:dyDescent="0.2">
      <c r="A53" s="17"/>
      <c r="B53" s="19"/>
      <c r="C53" s="17"/>
      <c r="D53" s="17"/>
      <c r="E53" s="17"/>
      <c r="F53" s="37"/>
      <c r="G53" s="37"/>
      <c r="H53" s="17"/>
      <c r="I53" s="17"/>
      <c r="J53" s="236" t="s">
        <v>244</v>
      </c>
      <c r="K53" s="237"/>
      <c r="L53" s="238"/>
      <c r="M53" s="239">
        <f>IF(MINUTE(SUM(Z8:Z38))&gt;=30,SUM(Z8:Z38)+(TIME(1,0,0))-TIME(0,MINUTE(SUM(Z8:Z38)),0),SUM(Z8:Z38)-TIME(0,MINUTE(SUM(Z8:Z38)),0))</f>
        <v>0</v>
      </c>
      <c r="N53" s="237" t="s">
        <v>190</v>
      </c>
      <c r="O53" s="248"/>
      <c r="P53" s="248"/>
      <c r="Q53" s="248"/>
      <c r="R53" s="249"/>
      <c r="S53" s="354">
        <f>IF($R$2="Oui",M53*AK53*24,0)</f>
        <v>0</v>
      </c>
      <c r="T53" s="355"/>
      <c r="U53" s="355"/>
      <c r="V53" s="233" t="s">
        <v>55</v>
      </c>
      <c r="W53" s="234">
        <f>IF($R$3="Oui",M53*AK53*24,0)</f>
        <v>0</v>
      </c>
      <c r="X53" s="235" t="s">
        <v>55</v>
      </c>
      <c r="Y53" s="23"/>
      <c r="Z53" s="246"/>
      <c r="AA53" s="246"/>
      <c r="AB53" s="358" t="s">
        <v>81</v>
      </c>
      <c r="AC53" s="359"/>
      <c r="AD53" s="359"/>
      <c r="AE53" s="121">
        <v>2.48</v>
      </c>
      <c r="AG53" s="352" t="s">
        <v>83</v>
      </c>
      <c r="AH53" s="353"/>
      <c r="AI53" s="353"/>
      <c r="AJ53" s="353"/>
      <c r="AK53" s="130">
        <f>AK43/24</f>
        <v>0.38846514804107962</v>
      </c>
      <c r="AZ53" s="17"/>
      <c r="BA53" s="17"/>
      <c r="BB53" s="17"/>
      <c r="BC53" s="17"/>
      <c r="BD53" s="17"/>
      <c r="BE53" s="17"/>
      <c r="BF53" s="17"/>
    </row>
    <row r="54" spans="1:58" s="141" customFormat="1" ht="12.75" customHeight="1" x14ac:dyDescent="0.2">
      <c r="A54" s="17"/>
      <c r="B54" s="19"/>
      <c r="C54" s="17"/>
      <c r="D54" s="17"/>
      <c r="E54" s="17"/>
      <c r="F54" s="37"/>
      <c r="G54" s="37"/>
      <c r="H54" s="17"/>
      <c r="I54" s="17"/>
      <c r="J54" s="236" t="s">
        <v>230</v>
      </c>
      <c r="K54" s="237"/>
      <c r="L54" s="238"/>
      <c r="M54" s="239">
        <f>IF(MINUTE(SUM(AA8:AA38))&gt;=30,SUM(AA8:AA38)+(TIME(1,0,0))-TIME(0,MINUTE(SUM(AA8:AA38)),0),SUM(AA8:AA38)-TIME(0,MINUTE(SUM(AA8:AA38)),0))</f>
        <v>0</v>
      </c>
      <c r="N54" s="237" t="s">
        <v>190</v>
      </c>
      <c r="O54" s="248"/>
      <c r="P54" s="248"/>
      <c r="Q54" s="248"/>
      <c r="R54" s="249"/>
      <c r="S54" s="354">
        <f>IF($R$2="Oui",M54*AK54*24,0)</f>
        <v>0</v>
      </c>
      <c r="T54" s="355"/>
      <c r="U54" s="355"/>
      <c r="V54" s="233" t="s">
        <v>55</v>
      </c>
      <c r="W54" s="234">
        <f>IF($R$3="Oui",M54*AK54*24,0)</f>
        <v>0</v>
      </c>
      <c r="X54" s="235" t="s">
        <v>55</v>
      </c>
      <c r="Y54" s="23"/>
      <c r="Z54" s="246"/>
      <c r="AA54" s="246"/>
      <c r="AB54" s="348" t="s">
        <v>82</v>
      </c>
      <c r="AC54" s="349"/>
      <c r="AD54" s="349"/>
      <c r="AE54" s="131">
        <v>1.74</v>
      </c>
      <c r="AG54" s="348" t="s">
        <v>84</v>
      </c>
      <c r="AH54" s="349"/>
      <c r="AI54" s="349"/>
      <c r="AJ54" s="349"/>
      <c r="AK54" s="132">
        <f>AK43/15</f>
        <v>0.62154423686572735</v>
      </c>
      <c r="AZ54" s="17"/>
      <c r="BA54" s="17"/>
      <c r="BB54" s="17"/>
      <c r="BC54" s="17"/>
      <c r="BD54" s="17"/>
      <c r="BE54" s="17"/>
      <c r="BF54" s="17"/>
    </row>
    <row r="55" spans="1:58" s="141" customFormat="1" ht="12.75" customHeight="1" x14ac:dyDescent="0.2">
      <c r="A55" s="17"/>
      <c r="B55" s="19"/>
      <c r="C55" s="17"/>
      <c r="D55" s="17"/>
      <c r="E55" s="17"/>
      <c r="F55" s="37"/>
      <c r="G55" s="37"/>
      <c r="H55" s="17"/>
      <c r="I55" s="17"/>
      <c r="J55" s="223" t="s">
        <v>57</v>
      </c>
      <c r="K55" s="224"/>
      <c r="L55" s="250"/>
      <c r="M55" s="251">
        <f>SUM(AS8:AS38)</f>
        <v>0</v>
      </c>
      <c r="N55" s="225" t="s">
        <v>214</v>
      </c>
      <c r="O55" s="252"/>
      <c r="P55" s="252"/>
      <c r="Q55" s="252"/>
      <c r="R55" s="253"/>
      <c r="S55" s="471">
        <f>IF($R$2="Oui",M55*2.81*Z41*AE48,0)</f>
        <v>0</v>
      </c>
      <c r="T55" s="472"/>
      <c r="U55" s="472"/>
      <c r="V55" s="233" t="s">
        <v>55</v>
      </c>
      <c r="W55" s="234">
        <f>IF($R$3="Oui",M55*2.81*Z41*AE48,0)</f>
        <v>0</v>
      </c>
      <c r="X55" s="235" t="s">
        <v>55</v>
      </c>
      <c r="Y55" s="23"/>
      <c r="Z55" s="246"/>
      <c r="AA55" s="246"/>
      <c r="AZ55" s="17"/>
      <c r="BA55" s="17"/>
      <c r="BB55" s="17"/>
      <c r="BC55" s="17"/>
      <c r="BD55" s="17"/>
      <c r="BE55" s="17"/>
      <c r="BF55" s="17"/>
    </row>
    <row r="56" spans="1:58" s="141" customFormat="1" ht="12.75" customHeight="1" x14ac:dyDescent="0.2">
      <c r="A56" s="17"/>
      <c r="B56" s="19"/>
      <c r="C56" s="17"/>
      <c r="D56" s="17"/>
      <c r="E56" s="17"/>
      <c r="F56" s="37"/>
      <c r="G56" s="37"/>
      <c r="H56" s="17"/>
      <c r="I56" s="17"/>
      <c r="J56" s="254"/>
      <c r="K56" s="254"/>
      <c r="L56" s="24"/>
      <c r="M56" s="255"/>
      <c r="N56" s="256"/>
      <c r="O56" s="257"/>
      <c r="P56" s="23"/>
      <c r="Q56" s="258"/>
      <c r="R56" s="259" t="s">
        <v>262</v>
      </c>
      <c r="S56" s="473">
        <f>IF($R$2="Oui",SUM(S42:U55),0)</f>
        <v>0</v>
      </c>
      <c r="T56" s="474"/>
      <c r="U56" s="474"/>
      <c r="V56" s="260" t="s">
        <v>55</v>
      </c>
      <c r="W56" s="261">
        <f>IF($R$3="Oui",SUM(W42:W55),0)</f>
        <v>0</v>
      </c>
      <c r="X56" s="262" t="s">
        <v>55</v>
      </c>
      <c r="Y56" s="23"/>
      <c r="Z56" s="246"/>
      <c r="AA56" s="246"/>
      <c r="AZ56" s="17"/>
      <c r="BA56" s="17"/>
      <c r="BB56" s="17"/>
      <c r="BC56" s="17"/>
      <c r="BD56" s="17"/>
      <c r="BE56" s="17"/>
      <c r="BF56" s="17"/>
    </row>
    <row r="57" spans="1:58" s="141" customFormat="1" ht="12.75" customHeight="1" x14ac:dyDescent="0.2">
      <c r="A57" s="17"/>
      <c r="B57" s="19"/>
      <c r="C57" s="17"/>
      <c r="D57" s="17"/>
      <c r="E57" s="17"/>
      <c r="F57" s="37"/>
      <c r="G57" s="37"/>
      <c r="H57" s="17"/>
      <c r="I57" s="17"/>
      <c r="J57" s="17"/>
      <c r="K57" s="17"/>
      <c r="L57" s="19"/>
      <c r="M57" s="19"/>
      <c r="N57" s="18"/>
      <c r="O57" s="18"/>
      <c r="P57" s="17"/>
      <c r="Q57" s="17"/>
      <c r="R57" s="17"/>
      <c r="S57" s="17"/>
      <c r="T57" s="17"/>
      <c r="U57" s="17"/>
      <c r="V57" s="17"/>
      <c r="W57" s="17"/>
      <c r="X57" s="17"/>
      <c r="Y57" s="17"/>
      <c r="AB57" s="448" t="s">
        <v>164</v>
      </c>
      <c r="AC57" s="449"/>
      <c r="AD57" s="450"/>
      <c r="AZ57" s="17"/>
      <c r="BA57" s="17"/>
      <c r="BB57" s="17"/>
      <c r="BC57" s="17"/>
      <c r="BD57" s="17"/>
      <c r="BE57" s="17"/>
      <c r="BF57" s="17"/>
    </row>
    <row r="58" spans="1:58" s="141" customFormat="1" ht="12.75" customHeight="1" x14ac:dyDescent="0.2">
      <c r="A58" s="17"/>
      <c r="B58" s="19"/>
      <c r="C58" s="17"/>
      <c r="D58" s="17"/>
      <c r="E58" s="17"/>
      <c r="F58" s="37"/>
      <c r="G58" s="37"/>
      <c r="H58" s="17"/>
      <c r="I58" s="17"/>
      <c r="J58" s="17"/>
      <c r="K58" s="17"/>
      <c r="L58" s="19"/>
      <c r="M58" s="19"/>
      <c r="N58" s="18"/>
      <c r="O58" s="18"/>
      <c r="P58" s="17"/>
      <c r="Q58" s="17"/>
      <c r="R58" s="17"/>
      <c r="S58" s="17"/>
      <c r="T58" s="17"/>
      <c r="U58" s="17"/>
      <c r="V58" s="17"/>
      <c r="W58" s="17"/>
      <c r="X58" s="17"/>
      <c r="AB58" s="451">
        <f>Configuration!$H$30</f>
        <v>0</v>
      </c>
      <c r="AC58" s="452"/>
      <c r="AD58" s="453"/>
      <c r="AZ58" s="17"/>
      <c r="BA58" s="17"/>
      <c r="BB58" s="17"/>
      <c r="BC58" s="17"/>
      <c r="BD58" s="17"/>
      <c r="BE58" s="17"/>
      <c r="BF58" s="17"/>
    </row>
    <row r="70" spans="48:49" ht="12.75" customHeight="1" x14ac:dyDescent="0.2">
      <c r="AV70" s="141" t="s">
        <v>270</v>
      </c>
      <c r="AW70" s="290">
        <f>IF(($R$40=AV70)*AND($R$41&lt;&gt;""),VLOOKUP($R$41,'Barèmes CALOG'!$B$4:$C$34,2),0)</f>
        <v>0</v>
      </c>
    </row>
    <row r="71" spans="48:49" ht="12.75" customHeight="1" x14ac:dyDescent="0.2">
      <c r="AV71" s="141" t="s">
        <v>271</v>
      </c>
      <c r="AW71" s="290">
        <f>IF(($R$40=AV71)*AND($R$41&lt;&gt;""),VLOOKUP($R$41,'Barèmes CALOG'!$E$4:$F$34,2),0)</f>
        <v>0</v>
      </c>
    </row>
    <row r="72" spans="48:49" ht="12.75" customHeight="1" x14ac:dyDescent="0.2">
      <c r="AV72" s="141" t="s">
        <v>272</v>
      </c>
      <c r="AW72" s="290">
        <f>IF(($R$40=AV72)*AND($R$41&lt;&gt;""),VLOOKUP($R$41,'Barèmes CALOG'!$H$4:$I$34,2),0)</f>
        <v>0</v>
      </c>
    </row>
    <row r="73" spans="48:49" ht="12.75" customHeight="1" x14ac:dyDescent="0.2">
      <c r="AV73" s="141" t="s">
        <v>273</v>
      </c>
      <c r="AW73" s="290">
        <f>IF(($R$40=AV73)*AND($R$41&lt;&gt;""),VLOOKUP($R$41,'Barèmes CALOG'!$K$4:$L$34,2),0)</f>
        <v>0</v>
      </c>
    </row>
    <row r="74" spans="48:49" ht="12.75" customHeight="1" x14ac:dyDescent="0.2">
      <c r="AV74" s="141" t="s">
        <v>274</v>
      </c>
      <c r="AW74" s="290">
        <f>IF(($R$40=AV74)*AND($R$41&lt;&gt;""),VLOOKUP($R$41,'Barèmes CALOG'!$N$4:$O$34,2),0)</f>
        <v>0</v>
      </c>
    </row>
    <row r="75" spans="48:49" ht="12.75" customHeight="1" x14ac:dyDescent="0.2">
      <c r="AV75" s="141" t="s">
        <v>275</v>
      </c>
      <c r="AW75" s="290">
        <f>IF(($R$40=AV75)*AND($R$41&lt;&gt;""),VLOOKUP($R$41,'Barèmes CALOG'!$Q$4:$R$34,2),0)</f>
        <v>0</v>
      </c>
    </row>
    <row r="76" spans="48:49" ht="12.75" customHeight="1" x14ac:dyDescent="0.2">
      <c r="AV76" s="141" t="s">
        <v>276</v>
      </c>
      <c r="AW76" s="290">
        <f>IF(($R$40=AV76)*AND($R$41&lt;&gt;""),VLOOKUP($R$41,'Barèmes CALOG'!$T$4:$U$34,2),0)</f>
        <v>0</v>
      </c>
    </row>
    <row r="77" spans="48:49" ht="12.75" customHeight="1" x14ac:dyDescent="0.2">
      <c r="AV77" s="141" t="s">
        <v>277</v>
      </c>
      <c r="AW77" s="290">
        <f>IF(($R$40=AV77)*AND($R$41&lt;&gt;""),VLOOKUP($R$41,'Barèmes CALOG'!$W$4:$X$34,2),0)</f>
        <v>0</v>
      </c>
    </row>
    <row r="78" spans="48:49" ht="12.75" customHeight="1" x14ac:dyDescent="0.2">
      <c r="AV78" s="141" t="s">
        <v>278</v>
      </c>
      <c r="AW78" s="290">
        <f>IF(($R$40=AV78)*AND($R$41&lt;&gt;""),VLOOKUP($R$41,'Barèmes CALOG'!$Z$4:$AA$34,2),0)</f>
        <v>0</v>
      </c>
    </row>
    <row r="79" spans="48:49" ht="12.75" customHeight="1" x14ac:dyDescent="0.2">
      <c r="AV79" s="141" t="s">
        <v>279</v>
      </c>
      <c r="AW79" s="290">
        <f>IF(($R$40=AV79)*AND($R$41&lt;&gt;""),VLOOKUP($R$41,'Barèmes CALOG'!$AC$4:$AD$34,2),0)</f>
        <v>0</v>
      </c>
    </row>
    <row r="80" spans="48:49" ht="12.75" customHeight="1" x14ac:dyDescent="0.2">
      <c r="AV80" s="141" t="s">
        <v>280</v>
      </c>
      <c r="AW80" s="290">
        <f>IF(($R$40=AV80)*AND($R$41&lt;&gt;""),VLOOKUP($R$41,'Barèmes CALOG'!$AF$4:$AG$34,2),0)</f>
        <v>0</v>
      </c>
    </row>
    <row r="81" spans="48:49" ht="12.75" customHeight="1" x14ac:dyDescent="0.2">
      <c r="AV81" s="141" t="s">
        <v>281</v>
      </c>
      <c r="AW81" s="290">
        <f>IF(($R$40=AV81)*AND($R$41&lt;&gt;""),VLOOKUP($R$41,'Barèmes CALOG'!$AI$4:$AJ$34,2),0)</f>
        <v>0</v>
      </c>
    </row>
    <row r="82" spans="48:49" ht="12.75" customHeight="1" x14ac:dyDescent="0.2">
      <c r="AV82" s="141" t="s">
        <v>282</v>
      </c>
      <c r="AW82" s="290">
        <f>IF(($R$40=AV82)*AND($R$41&lt;&gt;""),VLOOKUP($R$41,'Barèmes CALOG'!$AL$4:$AM$34,2),0)</f>
        <v>0</v>
      </c>
    </row>
    <row r="83" spans="48:49" ht="12.75" customHeight="1" x14ac:dyDescent="0.2">
      <c r="AV83" s="141" t="s">
        <v>283</v>
      </c>
      <c r="AW83" s="290">
        <f>IF(($R$40=AV83)*AND($R$41&lt;&gt;""),VLOOKUP($R$41,'Barèmes CALOG'!$AO$4:$AP$34,2),0)</f>
        <v>0</v>
      </c>
    </row>
    <row r="84" spans="48:49" ht="12.75" customHeight="1" x14ac:dyDescent="0.2">
      <c r="AV84" s="141" t="s">
        <v>284</v>
      </c>
      <c r="AW84" s="290">
        <f>IF(($R$40=AV84)*AND($R$41&lt;&gt;""),VLOOKUP($R$41,'Barèmes CALOG'!$AR$4:$AS$34,2),0)</f>
        <v>0</v>
      </c>
    </row>
    <row r="85" spans="48:49" ht="12.75" customHeight="1" x14ac:dyDescent="0.2">
      <c r="AV85" s="141" t="s">
        <v>285</v>
      </c>
      <c r="AW85" s="290">
        <f>IF(($R$40=AV85)*AND($R$41&lt;&gt;""),VLOOKUP($R$41,'Barèmes CALOG'!$AU$4:$AV$34,2),0)</f>
        <v>0</v>
      </c>
    </row>
    <row r="86" spans="48:49" ht="12.75" customHeight="1" x14ac:dyDescent="0.2">
      <c r="AV86" s="141" t="s">
        <v>286</v>
      </c>
      <c r="AW86" s="290">
        <f>IF(($R$40=AV86)*AND($R$41&lt;&gt;""),VLOOKUP($R$41,'Barèmes CALOG'!$AX$4:$AY$34,2),0)</f>
        <v>0</v>
      </c>
    </row>
    <row r="87" spans="48:49" ht="12.75" customHeight="1" x14ac:dyDescent="0.2">
      <c r="AV87" s="141" t="s">
        <v>287</v>
      </c>
      <c r="AW87" s="290">
        <f>IF(($R$40=AV87)*AND($R$41&lt;&gt;""),VLOOKUP($R$41,'Barèmes CALOG'!$BA$4:$BB$34,2),0)</f>
        <v>0</v>
      </c>
    </row>
    <row r="88" spans="48:49" ht="12.75" customHeight="1" x14ac:dyDescent="0.2">
      <c r="AV88" s="141" t="s">
        <v>288</v>
      </c>
      <c r="AW88" s="290">
        <f>IF(($R$40=AV88)*AND($R$41&lt;&gt;""),VLOOKUP($R$41,'Barèmes CALOG'!$BD$4:$BE$34,2),0)</f>
        <v>0</v>
      </c>
    </row>
    <row r="89" spans="48:49" ht="12.75" customHeight="1" x14ac:dyDescent="0.2">
      <c r="AV89" s="141" t="s">
        <v>289</v>
      </c>
      <c r="AW89" s="290">
        <f>IF(($R$40=AV89)*AND($R$41&lt;&gt;""),VLOOKUP($R$41,'Barèmes CALOG'!$BG$4:$BH$34,2),0)</f>
        <v>0</v>
      </c>
    </row>
    <row r="90" spans="48:49" ht="12.75" customHeight="1" x14ac:dyDescent="0.2">
      <c r="AV90" s="141" t="s">
        <v>290</v>
      </c>
      <c r="AW90" s="290">
        <f>IF(($R$40=AV90)*AND($R$41&lt;&gt;""),VLOOKUP($R$41,'Barèmes CALOG'!$BJ$4:$BK$34,2),0)</f>
        <v>0</v>
      </c>
    </row>
    <row r="91" spans="48:49" ht="12.75" customHeight="1" x14ac:dyDescent="0.2">
      <c r="AV91" s="141" t="s">
        <v>291</v>
      </c>
      <c r="AW91" s="290">
        <f>IF(($R$40=AV91)*AND($R$41&lt;&gt;""),VLOOKUP($R$41,'Barèmes CALOG'!$BM$4:$BN$34,2),0)</f>
        <v>0</v>
      </c>
    </row>
    <row r="92" spans="48:49" ht="12.75" customHeight="1" x14ac:dyDescent="0.2">
      <c r="AV92" s="141" t="s">
        <v>292</v>
      </c>
      <c r="AW92" s="290">
        <f>IF(($R$40=AV92)*AND($R$41&lt;&gt;""),VLOOKUP($R$41,'Barèmes CALOG'!$BP$4:$BQ$34,2),0)</f>
        <v>0</v>
      </c>
    </row>
    <row r="93" spans="48:49" ht="12.75" customHeight="1" x14ac:dyDescent="0.2">
      <c r="AV93" s="141" t="s">
        <v>293</v>
      </c>
      <c r="AW93" s="290">
        <f>IF(($R$40=AV93)*AND($R$41&lt;&gt;""),VLOOKUP($R$41,'Barèmes CALOG'!$BS$4:$BT$34,2),0)</f>
        <v>0</v>
      </c>
    </row>
    <row r="94" spans="48:49" ht="12.75" customHeight="1" x14ac:dyDescent="0.2">
      <c r="AV94" s="141" t="s">
        <v>294</v>
      </c>
      <c r="AW94" s="290">
        <f>IF(($R$40=AV94)*AND($R$41&lt;&gt;""),VLOOKUP($R$41,'Barèmes CALOG'!$BV$4:$BW$34,2),0)</f>
        <v>0</v>
      </c>
    </row>
    <row r="95" spans="48:49" ht="12.75" customHeight="1" x14ac:dyDescent="0.2">
      <c r="AV95" s="141" t="s">
        <v>295</v>
      </c>
      <c r="AW95" s="290">
        <f>IF(($R$40=AV95)*AND($R$41&lt;&gt;""),VLOOKUP($R$41,'Barèmes CALOG'!$BY$4:$BZ$34,2),0)</f>
        <v>0</v>
      </c>
    </row>
    <row r="96" spans="48:49" ht="12.75" customHeight="1" x14ac:dyDescent="0.2">
      <c r="AV96" s="141" t="s">
        <v>296</v>
      </c>
      <c r="AW96" s="290">
        <f>IF(($R$40=AV96)*AND($R$41&lt;&gt;""),VLOOKUP($R$41,'Barèmes CALOG'!$CB$4:$CC$34,2),0)</f>
        <v>0</v>
      </c>
    </row>
    <row r="97" spans="48:49" ht="12.75" customHeight="1" x14ac:dyDescent="0.2">
      <c r="AV97" s="141" t="s">
        <v>297</v>
      </c>
      <c r="AW97" s="290">
        <f>IF(($R$40=AV97)*AND($R$41&lt;&gt;""),VLOOKUP($R$41,'Barèmes CALOG'!$CE$4:$CF$34,2),0)</f>
        <v>0</v>
      </c>
    </row>
    <row r="98" spans="48:49" ht="12.75" customHeight="1" x14ac:dyDescent="0.2">
      <c r="AV98" s="141" t="s">
        <v>298</v>
      </c>
      <c r="AW98" s="290">
        <f>IF(($R$40=AV98)*AND($R$41&lt;&gt;""),VLOOKUP($R$41,'Barèmes CALOG'!$CH$4:$CI$34,2),0)</f>
        <v>0</v>
      </c>
    </row>
    <row r="99" spans="48:49" ht="12.75" customHeight="1" x14ac:dyDescent="0.2">
      <c r="AV99" s="141" t="s">
        <v>299</v>
      </c>
      <c r="AW99" s="290">
        <f>IF(($R$40=AV99)*AND($R$41&lt;&gt;""),VLOOKUP($R$41,'Barèmes CALOG'!$CK$4:$CL$34,2),0)</f>
        <v>0</v>
      </c>
    </row>
    <row r="100" spans="48:49" ht="12.75" customHeight="1" x14ac:dyDescent="0.2">
      <c r="AV100" s="141" t="s">
        <v>300</v>
      </c>
      <c r="AW100" s="290">
        <f>IF(($R$40=AV100)*AND($R$41&lt;&gt;""),VLOOKUP($R$41,'Barèmes CALOG'!$CN$4:$CO$34,2),0)</f>
        <v>0</v>
      </c>
    </row>
    <row r="101" spans="48:49" ht="12.75" customHeight="1" x14ac:dyDescent="0.2">
      <c r="AV101" s="141" t="s">
        <v>301</v>
      </c>
      <c r="AW101" s="290">
        <f>IF(($R$40=AV101)*AND($R$41&lt;&gt;""),VLOOKUP($R$41,'Barèmes CALOG'!$CQ$4:$CR$34,2),0)</f>
        <v>0</v>
      </c>
    </row>
    <row r="102" spans="48:49" ht="12.75" customHeight="1" x14ac:dyDescent="0.2">
      <c r="AV102" s="141" t="s">
        <v>302</v>
      </c>
      <c r="AW102" s="290">
        <f>IF(($R$40=AV102)*AND($R$41&lt;&gt;""),VLOOKUP($R$41,'Barèmes CALOG'!$CT$4:$CU$34,2),0)</f>
        <v>0</v>
      </c>
    </row>
    <row r="103" spans="48:49" ht="12.75" customHeight="1" x14ac:dyDescent="0.2">
      <c r="AV103" s="141" t="s">
        <v>303</v>
      </c>
      <c r="AW103" s="290">
        <f>IF(($R$40=AV103)*AND($R$41&lt;&gt;""),VLOOKUP($R$41,'Barèmes CALOG'!$CW$4:$CX$34,2),0)</f>
        <v>0</v>
      </c>
    </row>
    <row r="104" spans="48:49" ht="12.75" customHeight="1" x14ac:dyDescent="0.2">
      <c r="AV104" s="141" t="s">
        <v>304</v>
      </c>
      <c r="AW104" s="290">
        <f>IF(($R$40=AV104)*AND($R$41&lt;&gt;""),VLOOKUP($R$41,'Barèmes CALOG'!$B$40:$C$70,2),0)</f>
        <v>0</v>
      </c>
    </row>
    <row r="105" spans="48:49" ht="12.75" customHeight="1" x14ac:dyDescent="0.2">
      <c r="AV105" s="141" t="s">
        <v>305</v>
      </c>
      <c r="AW105" s="290">
        <f>IF(($R$40=AV105)*AND($R$41&lt;&gt;""),VLOOKUP($R$41,'Barèmes CALOG'!$E$40:$F$70,2),0)</f>
        <v>0</v>
      </c>
    </row>
    <row r="106" spans="48:49" ht="12.75" customHeight="1" x14ac:dyDescent="0.2">
      <c r="AV106" s="141" t="s">
        <v>306</v>
      </c>
      <c r="AW106" s="290">
        <f>IF(($R$40=AV106)*AND($R$41&lt;&gt;""),VLOOKUP($R$41,'Barèmes CALOG'!$H$40:$I$70,2),0)</f>
        <v>0</v>
      </c>
    </row>
    <row r="107" spans="48:49" ht="12.75" customHeight="1" x14ac:dyDescent="0.2">
      <c r="AV107" s="141" t="s">
        <v>307</v>
      </c>
      <c r="AW107" s="290">
        <f>IF(($R$40=AV107)*AND($R$41&lt;&gt;""),VLOOKUP($R$41,'Barèmes CALOG'!$K$40:$L$70,2),0)</f>
        <v>0</v>
      </c>
    </row>
    <row r="108" spans="48:49" ht="12.75" customHeight="1" x14ac:dyDescent="0.2">
      <c r="AV108" s="141" t="s">
        <v>308</v>
      </c>
      <c r="AW108" s="290">
        <f>IF(($R$40=AV108)*AND($R$41&lt;&gt;""),VLOOKUP($R$41,'Barèmes CALOG'!$N$40:$O$70,2),0)</f>
        <v>0</v>
      </c>
    </row>
    <row r="109" spans="48:49" ht="12.75" customHeight="1" x14ac:dyDescent="0.2">
      <c r="AV109" s="141" t="s">
        <v>309</v>
      </c>
      <c r="AW109" s="290">
        <f>IF(($R$40=AV109)*AND($R$41&lt;&gt;""),VLOOKUP($R$41,'Barèmes CALOG'!$Q$40:$R$70,2),0)</f>
        <v>0</v>
      </c>
    </row>
    <row r="110" spans="48:49" ht="12.75" customHeight="1" x14ac:dyDescent="0.2">
      <c r="AV110" s="141" t="s">
        <v>310</v>
      </c>
      <c r="AW110" s="290">
        <f>IF(($R$40=AV110)*AND($R$41&lt;&gt;""),VLOOKUP($R$41,'Barèmes CALOG'!$T$40:$U$70,2),0)</f>
        <v>0</v>
      </c>
    </row>
    <row r="111" spans="48:49" ht="12.75" customHeight="1" x14ac:dyDescent="0.2">
      <c r="AV111" s="141" t="s">
        <v>311</v>
      </c>
      <c r="AW111" s="290">
        <f>IF(($R$40=AV111)*AND($R$41&lt;&gt;""),VLOOKUP($R$41,'Barèmes CALOG'!$W$40:$X$70,2),0)</f>
        <v>0</v>
      </c>
    </row>
    <row r="112" spans="48:49" ht="12.75" customHeight="1" x14ac:dyDescent="0.2">
      <c r="AV112" s="141" t="s">
        <v>312</v>
      </c>
      <c r="AW112" s="290">
        <f>IF(($R$40=AV112)*AND($R$41&lt;&gt;""),VLOOKUP($R$41,'Barèmes CALOG'!$Z$40:$AA$70,2),0)</f>
        <v>0</v>
      </c>
    </row>
    <row r="113" spans="48:49" ht="12.75" customHeight="1" x14ac:dyDescent="0.2">
      <c r="AV113" s="141" t="s">
        <v>313</v>
      </c>
      <c r="AW113" s="290">
        <f>IF(($R$40=AV113)*AND($R$41&lt;&gt;""),VLOOKUP($R$41,'Barèmes CALOG'!$AC$40:$AD$70,2),0)</f>
        <v>0</v>
      </c>
    </row>
    <row r="114" spans="48:49" ht="12.75" customHeight="1" x14ac:dyDescent="0.2">
      <c r="AV114" s="141" t="s">
        <v>314</v>
      </c>
      <c r="AW114" s="290">
        <f>IF(($R$40=AV114)*AND($R$41&lt;&gt;""),VLOOKUP($R$41,'Barèmes CALOG'!$AF$40:$AG$70,2),0)</f>
        <v>0</v>
      </c>
    </row>
    <row r="115" spans="48:49" ht="12.75" customHeight="1" x14ac:dyDescent="0.2">
      <c r="AV115" s="141" t="s">
        <v>315</v>
      </c>
      <c r="AW115" s="290">
        <f>IF(($R$40=AV115)*AND($R$41&lt;&gt;""),VLOOKUP($R$41,'Barèmes CALOG'!$AI$40:$AJ$70,2),0)</f>
        <v>0</v>
      </c>
    </row>
    <row r="116" spans="48:49" ht="12.75" customHeight="1" x14ac:dyDescent="0.2">
      <c r="AV116" s="141" t="s">
        <v>316</v>
      </c>
      <c r="AW116" s="290">
        <f>IF(($R$40=AV116)*AND($R$41&lt;&gt;""),VLOOKUP($R$41,'Barèmes CALOG'!$AL$40:$AM$70,2),0)</f>
        <v>0</v>
      </c>
    </row>
    <row r="117" spans="48:49" ht="12.75" customHeight="1" x14ac:dyDescent="0.2">
      <c r="AV117" s="141" t="s">
        <v>317</v>
      </c>
      <c r="AW117" s="290">
        <f>IF(($R$40=AV117)*AND($R$41&lt;&gt;""),VLOOKUP($R$41,'Barèmes CALOG'!$AO$40:$AP$70,2),0)</f>
        <v>0</v>
      </c>
    </row>
    <row r="118" spans="48:49" ht="12.75" customHeight="1" x14ac:dyDescent="0.2">
      <c r="AV118" s="141" t="s">
        <v>318</v>
      </c>
      <c r="AW118" s="290">
        <f>IF(($R$40=AV118)*AND($R$41&lt;&gt;""),VLOOKUP($R$41,'Barèmes CALOG'!$AR$40:$AS$70,2),0)</f>
        <v>0</v>
      </c>
    </row>
    <row r="119" spans="48:49" ht="12.75" customHeight="1" x14ac:dyDescent="0.2">
      <c r="AV119" s="141" t="s">
        <v>319</v>
      </c>
      <c r="AW119" s="290">
        <f>IF(($R$40=AV119)*AND($R$41&lt;&gt;""),VLOOKUP($R$41,'Barèmes CALOG'!$AU$40:$AV$70,2),0)</f>
        <v>0</v>
      </c>
    </row>
    <row r="120" spans="48:49" ht="12.75" customHeight="1" x14ac:dyDescent="0.2">
      <c r="AV120" s="141" t="s">
        <v>320</v>
      </c>
      <c r="AW120" s="290">
        <f>IF(($R$40=AV120)*AND($R$41&lt;&gt;""),VLOOKUP($R$41,'Barèmes CALOG'!$AX$40:$AY$70,2),0)</f>
        <v>0</v>
      </c>
    </row>
    <row r="121" spans="48:49" ht="12.75" customHeight="1" x14ac:dyDescent="0.2">
      <c r="AV121" s="141" t="s">
        <v>321</v>
      </c>
      <c r="AW121" s="290">
        <f>IF(($R$40=AV121)*AND($R$41&lt;&gt;""),VLOOKUP($R$41,'Barèmes CALOG'!$BA$40:$BB$70,2),0)</f>
        <v>0</v>
      </c>
    </row>
    <row r="122" spans="48:49" ht="12.75" customHeight="1" x14ac:dyDescent="0.2">
      <c r="AV122" s="141" t="s">
        <v>322</v>
      </c>
      <c r="AW122" s="290">
        <f>IF(($R$40=AV122)*AND($R$41&lt;&gt;""),VLOOKUP($R$41,'Barèmes CALOG'!$BD$40:$BE$70,2),0)</f>
        <v>0</v>
      </c>
    </row>
    <row r="123" spans="48:49" ht="12.75" customHeight="1" x14ac:dyDescent="0.2">
      <c r="AV123" s="141" t="s">
        <v>323</v>
      </c>
      <c r="AW123" s="290">
        <f>IF(($R$40=AV123)*AND($R$41&lt;&gt;""),VLOOKUP($R$41,'Barèmes CALOG'!$BG$40:$BH$70,2),0)</f>
        <v>0</v>
      </c>
    </row>
    <row r="124" spans="48:49" ht="12.75" customHeight="1" x14ac:dyDescent="0.2">
      <c r="AV124" s="141" t="s">
        <v>324</v>
      </c>
      <c r="AW124" s="290">
        <f>IF(($R$40=AV124)*AND($R$41&lt;&gt;""),VLOOKUP($R$41,'Barèmes CALOG'!$BJ$40:$BK$70,2),0)</f>
        <v>0</v>
      </c>
    </row>
    <row r="125" spans="48:49" ht="12.75" customHeight="1" x14ac:dyDescent="0.2">
      <c r="AV125" s="141" t="s">
        <v>325</v>
      </c>
      <c r="AW125" s="290">
        <f>IF(($R$40=AV125)*AND($R$41&lt;&gt;""),VLOOKUP($R$41,'Barèmes CALOG'!$BM$40:$BN$70,2),0)</f>
        <v>0</v>
      </c>
    </row>
    <row r="126" spans="48:49" ht="12.75" customHeight="1" x14ac:dyDescent="0.2">
      <c r="AV126" s="141" t="s">
        <v>326</v>
      </c>
      <c r="AW126" s="290">
        <f>IF(($R$40=AV126)*AND($R$41&lt;&gt;""),VLOOKUP($R$41,'Barèmes CALOG'!$BP$40:$BQ$70,2),0)</f>
        <v>0</v>
      </c>
    </row>
    <row r="127" spans="48:49" ht="12.75" customHeight="1" x14ac:dyDescent="0.2">
      <c r="AV127" s="141" t="s">
        <v>327</v>
      </c>
      <c r="AW127" s="290">
        <f>IF(($R$40=AV127)*AND($R$41&lt;&gt;""),VLOOKUP($R$41,'Barèmes CALOG'!$BS$40:$BT$70,2),0)</f>
        <v>0</v>
      </c>
    </row>
    <row r="128" spans="48:49" ht="12.75" customHeight="1" x14ac:dyDescent="0.2">
      <c r="AV128" s="141" t="s">
        <v>328</v>
      </c>
      <c r="AW128" s="290">
        <f>IF(($R$40=AV128)*AND($R$41&lt;&gt;""),VLOOKUP($R$41,'Barèmes CALOG'!$BV$40:$BW$70,2),0)</f>
        <v>0</v>
      </c>
    </row>
    <row r="129" spans="48:49" ht="12.75" customHeight="1" x14ac:dyDescent="0.2">
      <c r="AV129" s="141" t="s">
        <v>329</v>
      </c>
      <c r="AW129" s="290">
        <f>IF(($R$40=AV129)*AND($R$41&lt;&gt;""),VLOOKUP($R$41,'Barèmes CALOG'!$BY$40:$BZ$70,2),0)</f>
        <v>0</v>
      </c>
    </row>
    <row r="130" spans="48:49" ht="12.75" customHeight="1" x14ac:dyDescent="0.2">
      <c r="AV130" s="141" t="s">
        <v>330</v>
      </c>
      <c r="AW130" s="290">
        <f>IF(($R$40=AV130)*AND($R$41&lt;&gt;""),VLOOKUP($R$41,'Barèmes CALOG'!$CB$40:$CC$70,2),0)</f>
        <v>0</v>
      </c>
    </row>
    <row r="131" spans="48:49" ht="12.75" customHeight="1" x14ac:dyDescent="0.2">
      <c r="AV131" s="141" t="s">
        <v>331</v>
      </c>
      <c r="AW131" s="290">
        <f>IF(($R$40=AV131)*AND($R$41&lt;&gt;""),VLOOKUP($R$41,'Barèmes CALOG'!$CE$40:$CF$70,2),0)</f>
        <v>0</v>
      </c>
    </row>
  </sheetData>
  <sheetProtection password="EC91" sheet="1" objects="1" scenarios="1" selectLockedCells="1"/>
  <mergeCells count="124">
    <mergeCell ref="AB57:AD57"/>
    <mergeCell ref="B52:E52"/>
    <mergeCell ref="F52:G52"/>
    <mergeCell ref="S52:U52"/>
    <mergeCell ref="AB52:AD52"/>
    <mergeCell ref="AB58:AD58"/>
    <mergeCell ref="AG53:AJ53"/>
    <mergeCell ref="S54:U54"/>
    <mergeCell ref="AB54:AD54"/>
    <mergeCell ref="AG54:AJ54"/>
    <mergeCell ref="S55:U55"/>
    <mergeCell ref="S56:U56"/>
    <mergeCell ref="S53:U53"/>
    <mergeCell ref="AB53:AD53"/>
    <mergeCell ref="S51:U51"/>
    <mergeCell ref="AB51:AD51"/>
    <mergeCell ref="AG51:AJ51"/>
    <mergeCell ref="B49:G49"/>
    <mergeCell ref="O49:Q49"/>
    <mergeCell ref="S49:U49"/>
    <mergeCell ref="B50:E50"/>
    <mergeCell ref="S50:U50"/>
    <mergeCell ref="AG50:AJ50"/>
    <mergeCell ref="O50:R50"/>
    <mergeCell ref="B51:E51"/>
    <mergeCell ref="F51:G51"/>
    <mergeCell ref="O51:R51"/>
    <mergeCell ref="O48:Q48"/>
    <mergeCell ref="S48:U48"/>
    <mergeCell ref="AB48:AD48"/>
    <mergeCell ref="AG48:AJ48"/>
    <mergeCell ref="O46:Q46"/>
    <mergeCell ref="S46:U46"/>
    <mergeCell ref="AB47:AD47"/>
    <mergeCell ref="Z47:AA47"/>
    <mergeCell ref="Z48:AA48"/>
    <mergeCell ref="B47:E47"/>
    <mergeCell ref="F47:G47"/>
    <mergeCell ref="O47:Q47"/>
    <mergeCell ref="S47:U47"/>
    <mergeCell ref="AM44:AP44"/>
    <mergeCell ref="AQ44:AR44"/>
    <mergeCell ref="B45:D45"/>
    <mergeCell ref="E45:F45"/>
    <mergeCell ref="G45:H45"/>
    <mergeCell ref="Z45:AA45"/>
    <mergeCell ref="AG47:AJ47"/>
    <mergeCell ref="AB45:AD45"/>
    <mergeCell ref="AG45:AJ45"/>
    <mergeCell ref="AM45:AP45"/>
    <mergeCell ref="AQ45:AR45"/>
    <mergeCell ref="B44:D44"/>
    <mergeCell ref="E44:F44"/>
    <mergeCell ref="G44:H44"/>
    <mergeCell ref="S44:U44"/>
    <mergeCell ref="AB44:AD44"/>
    <mergeCell ref="AG44:AJ44"/>
    <mergeCell ref="B43:D43"/>
    <mergeCell ref="E43:F43"/>
    <mergeCell ref="G43:H43"/>
    <mergeCell ref="S43:U43"/>
    <mergeCell ref="Z43:AA44"/>
    <mergeCell ref="AB43:AD43"/>
    <mergeCell ref="AG43:AJ43"/>
    <mergeCell ref="AM43:AP43"/>
    <mergeCell ref="AQ43:AR43"/>
    <mergeCell ref="B42:D42"/>
    <mergeCell ref="E42:F42"/>
    <mergeCell ref="G42:H42"/>
    <mergeCell ref="S42:U42"/>
    <mergeCell ref="J40:N40"/>
    <mergeCell ref="R40:S40"/>
    <mergeCell ref="AB42:AD42"/>
    <mergeCell ref="AG42:AJ42"/>
    <mergeCell ref="AM42:AQ42"/>
    <mergeCell ref="B41:D41"/>
    <mergeCell ref="E41:F41"/>
    <mergeCell ref="G41:H41"/>
    <mergeCell ref="R41:S41"/>
    <mergeCell ref="T41:V41"/>
    <mergeCell ref="Z41:AA41"/>
    <mergeCell ref="B40:D40"/>
    <mergeCell ref="E40:F40"/>
    <mergeCell ref="G40:H40"/>
    <mergeCell ref="T40:V40"/>
    <mergeCell ref="O7:P7"/>
    <mergeCell ref="AV4:AV7"/>
    <mergeCell ref="AW4:AW7"/>
    <mergeCell ref="AH5:AJ5"/>
    <mergeCell ref="AK5:AN5"/>
    <mergeCell ref="W39:X39"/>
    <mergeCell ref="AF4:AF7"/>
    <mergeCell ref="AS4:AS7"/>
    <mergeCell ref="AO4:AR4"/>
    <mergeCell ref="AT4:AT7"/>
    <mergeCell ref="AU4:AU7"/>
    <mergeCell ref="AG4:AG7"/>
    <mergeCell ref="AE4:AE7"/>
    <mergeCell ref="Z40:AA40"/>
    <mergeCell ref="Z6:Z7"/>
    <mergeCell ref="X6:X7"/>
    <mergeCell ref="AB4:AB7"/>
    <mergeCell ref="AC4:AC7"/>
    <mergeCell ref="AD4:AD7"/>
    <mergeCell ref="J6:K6"/>
    <mergeCell ref="L6:N6"/>
    <mergeCell ref="O6:P6"/>
    <mergeCell ref="Q6:T6"/>
    <mergeCell ref="B6:B7"/>
    <mergeCell ref="C6:C7"/>
    <mergeCell ref="D6:D7"/>
    <mergeCell ref="E6:E7"/>
    <mergeCell ref="F6:G6"/>
    <mergeCell ref="H6:I6"/>
    <mergeCell ref="D2:G2"/>
    <mergeCell ref="I2:L2"/>
    <mergeCell ref="N2:Q2"/>
    <mergeCell ref="R2:S2"/>
    <mergeCell ref="D3:G3"/>
    <mergeCell ref="J3:L3"/>
    <mergeCell ref="N3:Q3"/>
    <mergeCell ref="R3:S3"/>
    <mergeCell ref="D4:G4"/>
    <mergeCell ref="J4:L4"/>
  </mergeCells>
  <conditionalFormatting sqref="B8:AA37">
    <cfRule type="expression" dxfId="17" priority="3" stopIfTrue="1">
      <formula>OR($B8="Sa",$B8="Di",$D8="Jour férié semaine",$D8="Jour de pont")</formula>
    </cfRule>
  </conditionalFormatting>
  <conditionalFormatting sqref="Y8:AA37">
    <cfRule type="expression" dxfId="16" priority="1" stopIfTrue="1">
      <formula>OR($B8="Za",$B8="Zo",$D8="Feestdag week",$D8="Brugdag")</formula>
    </cfRule>
  </conditionalFormatting>
  <dataValidations count="3">
    <dataValidation type="list" allowBlank="1" showInputMessage="1" showErrorMessage="1" sqref="E8:E37" xr:uid="{00000000-0002-0000-0600-000000000000}">
      <formula1>"M,E,ME"</formula1>
    </dataValidation>
    <dataValidation type="list" allowBlank="1" showInputMessage="1" showErrorMessage="1" sqref="D8:D37" xr:uid="{00000000-0002-0000-0600-000001000000}">
      <formula1>$AX$8:$AX$29</formula1>
    </dataValidation>
    <dataValidation type="list" allowBlank="1" showInputMessage="1" showErrorMessage="1" sqref="R2:R3 F47" xr:uid="{00000000-0002-0000-0600-000002000000}">
      <formula1>"Oui,Non"</formula1>
    </dataValidation>
  </dataValidations>
  <pageMargins left="0.7" right="0.7" top="0.75" bottom="0.75" header="0.3" footer="0.3"/>
  <pageSetup paperSize="9" scale="69" fitToWidth="0" orientation="landscape"/>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BF131"/>
  <sheetViews>
    <sheetView workbookViewId="0">
      <selection activeCell="D8" sqref="D8"/>
    </sheetView>
  </sheetViews>
  <sheetFormatPr defaultRowHeight="12.75" customHeight="1" x14ac:dyDescent="0.2"/>
  <cols>
    <col min="1" max="1" width="1.42578125" style="17" customWidth="1"/>
    <col min="2" max="2" width="4" style="19" customWidth="1"/>
    <col min="3" max="3" width="6.85546875" style="17" customWidth="1"/>
    <col min="4" max="4" width="17.7109375" style="17" customWidth="1"/>
    <col min="5" max="5" width="4.42578125" style="17" customWidth="1"/>
    <col min="6" max="7" width="5.140625" style="37" customWidth="1"/>
    <col min="8" max="11" width="5.140625" style="17" customWidth="1"/>
    <col min="12" max="12" width="5.7109375" style="19" customWidth="1"/>
    <col min="13" max="13" width="6.28515625" style="19" customWidth="1"/>
    <col min="14" max="14" width="6.140625" style="18" customWidth="1"/>
    <col min="15" max="15" width="2.42578125" style="18" customWidth="1"/>
    <col min="16" max="16" width="6.42578125" style="17" customWidth="1"/>
    <col min="17" max="20" width="2.85546875" style="17" customWidth="1"/>
    <col min="21" max="21" width="5.7109375" style="17" customWidth="1"/>
    <col min="22" max="23" width="7.42578125" style="17" customWidth="1"/>
    <col min="24" max="24" width="7.7109375" style="17" customWidth="1"/>
    <col min="25" max="25" width="5.28515625" style="141" customWidth="1"/>
    <col min="26" max="26" width="6.42578125" style="141" customWidth="1"/>
    <col min="27" max="27" width="7.7109375" style="141" customWidth="1"/>
    <col min="28" max="28" width="7.85546875" style="141" hidden="1" customWidth="1"/>
    <col min="29" max="32" width="12.42578125" style="141" hidden="1" customWidth="1"/>
    <col min="33" max="33" width="8" style="141" hidden="1" customWidth="1"/>
    <col min="34" max="34" width="9.140625" style="141" hidden="1" customWidth="1"/>
    <col min="35" max="45" width="7.7109375" style="141" hidden="1" customWidth="1"/>
    <col min="46" max="48" width="12.140625" style="141" hidden="1" customWidth="1"/>
    <col min="49" max="51" width="9.85546875" style="141" hidden="1" customWidth="1"/>
    <col min="52" max="52" width="9.140625" style="17" customWidth="1"/>
    <col min="53" max="256" width="11.42578125" style="17" customWidth="1"/>
    <col min="257" max="16384" width="9.140625" style="17"/>
  </cols>
  <sheetData>
    <row r="1" spans="1:58" ht="5.25" customHeight="1" x14ac:dyDescent="0.2"/>
    <row r="2" spans="1:58" ht="12.75" customHeight="1" x14ac:dyDescent="0.2">
      <c r="D2" s="455" t="str">
        <f>CONCATENATE("Utilisateur: ",Configuration!H17)</f>
        <v xml:space="preserve">Utilisateur: </v>
      </c>
      <c r="E2" s="455"/>
      <c r="F2" s="455"/>
      <c r="G2" s="455"/>
      <c r="I2" s="456" t="s">
        <v>174</v>
      </c>
      <c r="J2" s="438"/>
      <c r="K2" s="438"/>
      <c r="L2" s="438"/>
      <c r="M2" s="18"/>
      <c r="N2" s="456" t="s">
        <v>177</v>
      </c>
      <c r="O2" s="438"/>
      <c r="P2" s="438"/>
      <c r="Q2" s="438"/>
      <c r="R2" s="439" t="s">
        <v>179</v>
      </c>
      <c r="S2" s="439"/>
      <c r="T2" s="20"/>
    </row>
    <row r="3" spans="1:58" ht="12.75" customHeight="1" x14ac:dyDescent="0.2">
      <c r="D3" s="440" t="str">
        <f>Configuration!G8</f>
        <v>OTT Tool 2024</v>
      </c>
      <c r="E3" s="440"/>
      <c r="F3" s="440"/>
      <c r="G3" s="440"/>
      <c r="I3" s="26"/>
      <c r="J3" s="438" t="s">
        <v>175</v>
      </c>
      <c r="K3" s="438"/>
      <c r="L3" s="438"/>
      <c r="M3" s="45">
        <f>IF(Avr!$F$47="Oui",Avr!F51,0)</f>
        <v>0</v>
      </c>
      <c r="N3" s="456" t="s">
        <v>178</v>
      </c>
      <c r="O3" s="438"/>
      <c r="P3" s="438"/>
      <c r="Q3" s="438"/>
      <c r="R3" s="439" t="s">
        <v>180</v>
      </c>
      <c r="S3" s="439"/>
      <c r="T3" s="20"/>
    </row>
    <row r="4" spans="1:58" ht="12.75" customHeight="1" x14ac:dyDescent="0.2">
      <c r="D4" s="440" t="s">
        <v>173</v>
      </c>
      <c r="E4" s="440"/>
      <c r="F4" s="440"/>
      <c r="G4" s="440"/>
      <c r="I4" s="20"/>
      <c r="J4" s="438" t="s">
        <v>176</v>
      </c>
      <c r="K4" s="438"/>
      <c r="L4" s="438"/>
      <c r="M4" s="45">
        <f>IF(Avr!$F$47="Oui",Avr!F52,Avr!M4)</f>
        <v>0</v>
      </c>
      <c r="N4" s="21"/>
      <c r="O4" s="19"/>
      <c r="Q4" s="18"/>
      <c r="T4" s="20"/>
      <c r="AB4" s="443" t="s">
        <v>259</v>
      </c>
      <c r="AC4" s="432" t="s">
        <v>160</v>
      </c>
      <c r="AD4" s="432" t="s">
        <v>255</v>
      </c>
      <c r="AE4" s="432" t="s">
        <v>166</v>
      </c>
      <c r="AF4" s="454" t="s">
        <v>168</v>
      </c>
      <c r="AG4" s="429" t="s">
        <v>45</v>
      </c>
      <c r="AJ4" s="121"/>
      <c r="AO4" s="426" t="s">
        <v>48</v>
      </c>
      <c r="AP4" s="427"/>
      <c r="AQ4" s="427"/>
      <c r="AR4" s="428"/>
      <c r="AS4" s="430" t="s">
        <v>52</v>
      </c>
      <c r="AT4" s="431" t="s">
        <v>53</v>
      </c>
      <c r="AU4" s="431" t="s">
        <v>60</v>
      </c>
      <c r="AV4" s="418" t="s">
        <v>62</v>
      </c>
      <c r="AW4" s="432" t="s">
        <v>63</v>
      </c>
    </row>
    <row r="5" spans="1:58" ht="12.75" customHeight="1" x14ac:dyDescent="0.2">
      <c r="B5" s="35"/>
      <c r="AB5" s="443"/>
      <c r="AC5" s="432"/>
      <c r="AD5" s="432"/>
      <c r="AE5" s="432"/>
      <c r="AF5" s="454"/>
      <c r="AG5" s="429"/>
      <c r="AH5" s="426" t="s">
        <v>47</v>
      </c>
      <c r="AI5" s="427"/>
      <c r="AJ5" s="428"/>
      <c r="AK5" s="426" t="s">
        <v>46</v>
      </c>
      <c r="AL5" s="427"/>
      <c r="AM5" s="427"/>
      <c r="AN5" s="428"/>
      <c r="AO5" s="105" t="s">
        <v>49</v>
      </c>
      <c r="AP5" s="94" t="s">
        <v>50</v>
      </c>
      <c r="AQ5" s="94" t="s">
        <v>51</v>
      </c>
      <c r="AR5" s="112" t="s">
        <v>46</v>
      </c>
      <c r="AS5" s="430"/>
      <c r="AT5" s="431"/>
      <c r="AU5" s="431"/>
      <c r="AV5" s="418"/>
      <c r="AW5" s="432"/>
    </row>
    <row r="6" spans="1:58" ht="12.75" customHeight="1" x14ac:dyDescent="0.2">
      <c r="A6" s="34"/>
      <c r="B6" s="419" t="s">
        <v>181</v>
      </c>
      <c r="C6" s="421" t="s">
        <v>182</v>
      </c>
      <c r="D6" s="421" t="s">
        <v>183</v>
      </c>
      <c r="E6" s="423" t="s">
        <v>184</v>
      </c>
      <c r="F6" s="446" t="s">
        <v>111</v>
      </c>
      <c r="G6" s="447"/>
      <c r="H6" s="433" t="s">
        <v>111</v>
      </c>
      <c r="I6" s="434"/>
      <c r="J6" s="433" t="s">
        <v>111</v>
      </c>
      <c r="K6" s="434"/>
      <c r="L6" s="433" t="s">
        <v>185</v>
      </c>
      <c r="M6" s="435"/>
      <c r="N6" s="434"/>
      <c r="O6" s="436" t="s">
        <v>41</v>
      </c>
      <c r="P6" s="437"/>
      <c r="Q6" s="433" t="s">
        <v>189</v>
      </c>
      <c r="R6" s="435"/>
      <c r="S6" s="435"/>
      <c r="T6" s="434"/>
      <c r="U6" s="27" t="s">
        <v>190</v>
      </c>
      <c r="V6" s="27" t="s">
        <v>191</v>
      </c>
      <c r="W6" s="27" t="s">
        <v>191</v>
      </c>
      <c r="X6" s="444" t="s">
        <v>192</v>
      </c>
      <c r="Y6" s="137" t="s">
        <v>195</v>
      </c>
      <c r="Z6" s="421" t="s">
        <v>245</v>
      </c>
      <c r="AA6" s="137" t="s">
        <v>246</v>
      </c>
      <c r="AB6" s="443"/>
      <c r="AC6" s="432"/>
      <c r="AD6" s="432"/>
      <c r="AE6" s="432"/>
      <c r="AF6" s="454"/>
      <c r="AG6" s="429"/>
      <c r="AH6" s="102">
        <v>0.79166666666666663</v>
      </c>
      <c r="AI6" s="100">
        <v>0</v>
      </c>
      <c r="AJ6" s="104">
        <v>0.79166666666666663</v>
      </c>
      <c r="AK6" s="120">
        <v>0.91666666666666663</v>
      </c>
      <c r="AL6" s="100">
        <v>0</v>
      </c>
      <c r="AM6" s="96">
        <v>0.79166666666666663</v>
      </c>
      <c r="AN6" s="104">
        <v>0.91666666666666663</v>
      </c>
      <c r="AO6" s="113">
        <v>0.25</v>
      </c>
      <c r="AP6" s="114">
        <v>0.5</v>
      </c>
      <c r="AQ6" s="114">
        <v>0.75</v>
      </c>
      <c r="AR6" s="115">
        <v>0</v>
      </c>
      <c r="AS6" s="430"/>
      <c r="AT6" s="431"/>
      <c r="AU6" s="431"/>
      <c r="AV6" s="418"/>
      <c r="AW6" s="432"/>
      <c r="AZ6" s="22"/>
      <c r="BA6" s="23"/>
    </row>
    <row r="7" spans="1:58" ht="12.75" customHeight="1" x14ac:dyDescent="0.2">
      <c r="A7" s="34"/>
      <c r="B7" s="420"/>
      <c r="C7" s="422"/>
      <c r="D7" s="422"/>
      <c r="E7" s="424"/>
      <c r="F7" s="38" t="s">
        <v>112</v>
      </c>
      <c r="G7" s="39" t="s">
        <v>113</v>
      </c>
      <c r="H7" s="28" t="s">
        <v>112</v>
      </c>
      <c r="I7" s="139" t="s">
        <v>113</v>
      </c>
      <c r="J7" s="28" t="s">
        <v>112</v>
      </c>
      <c r="K7" s="139" t="s">
        <v>113</v>
      </c>
      <c r="L7" s="28" t="s">
        <v>186</v>
      </c>
      <c r="M7" s="29" t="s">
        <v>187</v>
      </c>
      <c r="N7" s="139" t="s">
        <v>44</v>
      </c>
      <c r="O7" s="441" t="s">
        <v>188</v>
      </c>
      <c r="P7" s="442"/>
      <c r="Q7" s="31" t="s">
        <v>198</v>
      </c>
      <c r="R7" s="32" t="s">
        <v>42</v>
      </c>
      <c r="S7" s="32" t="s">
        <v>199</v>
      </c>
      <c r="T7" s="140" t="s">
        <v>200</v>
      </c>
      <c r="U7" s="30" t="s">
        <v>43</v>
      </c>
      <c r="V7" s="33" t="s">
        <v>193</v>
      </c>
      <c r="W7" s="33" t="s">
        <v>194</v>
      </c>
      <c r="X7" s="445"/>
      <c r="Y7" s="138" t="s">
        <v>196</v>
      </c>
      <c r="Z7" s="422"/>
      <c r="AA7" s="138" t="s">
        <v>247</v>
      </c>
      <c r="AB7" s="443"/>
      <c r="AC7" s="432"/>
      <c r="AD7" s="432"/>
      <c r="AE7" s="432"/>
      <c r="AF7" s="454"/>
      <c r="AG7" s="429"/>
      <c r="AH7" s="102">
        <v>1</v>
      </c>
      <c r="AI7" s="100">
        <v>0.29166666666666669</v>
      </c>
      <c r="AJ7" s="104">
        <v>0.29166666666666669</v>
      </c>
      <c r="AK7" s="102">
        <v>1</v>
      </c>
      <c r="AL7" s="99">
        <v>0.25</v>
      </c>
      <c r="AM7" s="95">
        <v>0.91666666666666663</v>
      </c>
      <c r="AN7" s="103">
        <v>0.25</v>
      </c>
      <c r="AO7" s="106">
        <v>0.33333333333333331</v>
      </c>
      <c r="AP7" s="96">
        <v>0.58333333333333337</v>
      </c>
      <c r="AQ7" s="96">
        <v>0.83333333333333337</v>
      </c>
      <c r="AR7" s="104">
        <v>8.3333333333333329E-2</v>
      </c>
      <c r="AS7" s="430"/>
      <c r="AT7" s="431"/>
      <c r="AU7" s="431"/>
      <c r="AV7" s="418"/>
      <c r="AW7" s="432"/>
      <c r="AZ7" s="22" t="s">
        <v>197</v>
      </c>
      <c r="BA7" s="23"/>
    </row>
    <row r="8" spans="1:58" ht="12.75" customHeight="1" x14ac:dyDescent="0.2">
      <c r="A8" s="34"/>
      <c r="B8" s="59" t="str">
        <f t="shared" ref="B8:B38" si="0">CHOOSE(WEEKDAY(C8),"Di","Lu","Ma","Me","Je","Ve","Sa")</f>
        <v>Me</v>
      </c>
      <c r="C8" s="60">
        <f>DATE(RIGHT(Configuration!$G$8,4),5,1)</f>
        <v>45413</v>
      </c>
      <c r="D8" s="61" t="s">
        <v>259</v>
      </c>
      <c r="E8" s="62"/>
      <c r="F8" s="63"/>
      <c r="G8" s="64"/>
      <c r="H8" s="63"/>
      <c r="I8" s="64"/>
      <c r="J8" s="63"/>
      <c r="K8" s="64"/>
      <c r="L8" s="40">
        <f t="shared" ref="L8:L38" si="1">(G8-F8)+(I8-H8)+(K8-J8)+SUM(AB8,AC8,AD8,AE8,AF8,AG8)</f>
        <v>0.31666666666666665</v>
      </c>
      <c r="M8" s="65">
        <f>L8+M3+IF(Avr!F47="Non",Avr!M37,0)</f>
        <v>0.31666666666666665</v>
      </c>
      <c r="N8" s="66">
        <f>IF(AND(D8&lt;&gt;"Jour libre 4/5",B8&lt;&gt;"Sa",B8&lt;&gt;"Di"),SUM(N7,Configuration!$H$41),SUM(N7))+IF(Avr!F47="Non",Avr!N37,0)</f>
        <v>0.31666666666666665</v>
      </c>
      <c r="O8" s="48" t="str">
        <f>IF(M8-N8-$M$4&gt;=0,"+","-")</f>
        <v>+</v>
      </c>
      <c r="P8" s="67">
        <f>ABS(M8-N8-$M$4)</f>
        <v>0</v>
      </c>
      <c r="Q8" s="164">
        <f>AO8</f>
        <v>0</v>
      </c>
      <c r="R8" s="165">
        <f>AP8</f>
        <v>0</v>
      </c>
      <c r="S8" s="165">
        <f>AQ8</f>
        <v>0</v>
      </c>
      <c r="T8" s="166">
        <f>AR8</f>
        <v>0</v>
      </c>
      <c r="U8" s="93">
        <f t="shared" ref="U8:U38" si="2">IF(OR(AND(D8="Jour férié semaine",((G8-F8)+(I8-H8)+(K8-J8&gt;0))),B8="Sa",B8="Di"),L8,0)</f>
        <v>0</v>
      </c>
      <c r="V8" s="93">
        <f t="shared" ref="V8:V38" si="3">IF($R$2="Oui",AM8,0)</f>
        <v>0</v>
      </c>
      <c r="W8" s="93">
        <f t="shared" ref="W8:W38" si="4">IF($R$2="Oui",AN8,0)</f>
        <v>0</v>
      </c>
      <c r="X8" s="93">
        <f t="shared" ref="X8:X38" si="5">IF($R$3="Oui",AJ8,0)</f>
        <v>0</v>
      </c>
      <c r="Y8" s="207"/>
      <c r="Z8" s="208"/>
      <c r="AA8" s="208"/>
      <c r="AB8" s="128">
        <f>IF(AND(D8="Jour férié semaine",((G8-F8)+(I8-H8)+(K8-J8)=0)),VLOOKUP(D8,Systeemgegevens!$J:$K,2,FALSE),0)</f>
        <v>0.31666666666666665</v>
      </c>
      <c r="AC8" s="43">
        <f>IF(AND(NOT(ISERROR(FIND("Congé",D8))),ISERROR(FIND("1/2",D8)),ISERROR(FIND("Synd",D8)),ISERROR(FIND("synd",D8)),(G8-F8+I8-H8+K8-J8)=0),VLOOKUP(D8,Systeemgegevens!$J:$K,2,FALSE),IF(AND(NOT(ISERROR(FIND("1/2 Congé + ",D8))),(G8-F8+I8-H8+K8-J8)=0),VLOOKUP(D8,Systeemgegevens!$J:$K,2,FALSE)/2,IF(AND(NOT(ISERROR(FIND("1/2 Congé",D8))),ISERROR(FIND(" + ",D8)),ISERROR(FIND("1/2 Congé Synd.",D8))),VLOOKUP(D8,Systeemgegevens!$J:$K,2,FALSE),0)))</f>
        <v>0</v>
      </c>
      <c r="AD8" s="43">
        <f>IF(AND(OR(D8="1/2 Congé Synd.",D8="Congé Synd."),((G8-F8)+(I8-H8)+(K8-J8)=0)),VLOOKUP(D8,Systeemgegevens!$J:$K,2,FALSE),IF(AND(D8="1/2 Congé + 1/2 synd.",((G8-F8)+(I8-H8)+(K8-J8)=0)),AC8,0))</f>
        <v>0</v>
      </c>
      <c r="AE8" s="43">
        <f>IF(AND(D8="Jour de pont",((G8-F8)+(I8-H8)+(K8-J8)=0)),VLOOKUP(D8,Systeemgegevens!$J:$K,2,FALSE),0)</f>
        <v>0</v>
      </c>
      <c r="AF8" s="43">
        <f>IF(AND(D8="Jour libre 4/5",AND((G8-F8)+(I8-H8)+(K8-J8)=0)),VLOOKUP(D8,Systeemgegevens!$J:$K,2,FALSE),0)</f>
        <v>0</v>
      </c>
      <c r="AG8" s="118">
        <f>IF(AND(D8&lt;&gt;"",SUM(AB8:AF8)=0,D8&lt;&gt;$AB$4,D8&lt;&gt;$AC$4,D8&lt;&gt;$AD$4,D8&lt;&gt;$AE$4,D8&lt;&gt;$AF$4),VLOOKUP(D8,Systeemgegevens!$J:$K,2,FALSE),0)</f>
        <v>0</v>
      </c>
      <c r="AH8" s="119">
        <f t="shared" ref="AH8:AH38" si="6">SUM(IF(AND(G8&gt;$AH$6,F8&lt;=$AH$6),G8-$AH$6,0),IF(F8&gt;$AH$6,G8-F8,0),IF(AND(I8&gt;$AH$6,H8&lt;=$AH$6),I8-$AH$6,0),IF(H8&gt;$AH$6,I8-H8,0),IF(AND(K8&gt;$AH$6,J8&lt;=$AH$6),K8-$AH$6,0),IF(J8&gt;$AH$6,K8-J8,0))</f>
        <v>0</v>
      </c>
      <c r="AI8" s="101">
        <f t="shared" ref="AI8:AI38" si="7">SUM(IF(AND(G8&gt;=$AI$7,F8&lt;$AI$7),$AI$7-F8,0),IF(G8&lt;$AI$7,G8-F8,0),IF(AND(I8&gt;=$AI$7,H8&lt;$AI$7),$AI$7-H8,0),IF(I8&lt;$AI$7,I8-H8,0),IF(AND(K8&gt;=$AI$7,J8&lt;$AI$7),$AI$7-J8,0),IF(K8&lt;$AI$7,K8-J8,0))</f>
        <v>0</v>
      </c>
      <c r="AJ8" s="118">
        <f>SUM(AH8:AI8)</f>
        <v>0</v>
      </c>
      <c r="AK8" s="119">
        <f t="shared" ref="AK8:AK38" si="8">SUM(IF(AND(G8&gt;$AK$6,F8&lt;=$AK$6),G8-$AK$6,0),IF(F8&gt;$AK$6,G8-F8,0),IF(AND(I8&gt;$AK$6,H8&lt;=$AK$6),I8-$AK$6,0),IF(H8&gt;$AK$6,I8-H8,0),IF(AND(K8&gt;$AK$6,J8&lt;=$AK$6),K8-$AK$6,0),IF(J8&gt;$AK$6,K8-J8,0))</f>
        <v>0</v>
      </c>
      <c r="AL8" s="101">
        <f t="shared" ref="AL8:AL38" si="9">SUM(IF(AND(G8&gt;=$AL$7,F8&lt;$AL$7),$AL$7-F8,0),IF(G8&lt;$AL$7,G8-F8,0),IF(AND(I8&gt;=$AL$7,H8&lt;$AL$7),$AL$7-H8,0),IF(I8&lt;$AL$7,I8-H8,0),IF(AND(K8&gt;=$AL$7,J8&lt;$AL$7),$AL$7-J8,0),IF(K8&lt;$AL$7,K8-J8,0))</f>
        <v>0</v>
      </c>
      <c r="AM8" s="43">
        <f>AH8-AK8</f>
        <v>0</v>
      </c>
      <c r="AN8" s="118">
        <f>AK8+AL8</f>
        <v>0</v>
      </c>
      <c r="AO8" s="122">
        <f t="shared" ref="AO8:AO38" si="10">SUM(IF(AND(F8&lt;=$AO$6,G8&gt;=$AO$7),1,0),IF(AND(H8&lt;=$AO$6,I8&gt;=$AO$7),1,0),IF(AND(J8&lt;=$AO$6,K8&gt;=$AO$7),1,0))</f>
        <v>0</v>
      </c>
      <c r="AP8" s="107">
        <f t="shared" ref="AP8:AP38" si="11">SUM(IF(AND(F8&lt;=$AP$6,G8&gt;=$AP$7),1,0),IF(AND(H8&lt;=$AP$6,I8&gt;=$AP$7),1,0),IF(AND(J8&lt;=$AP$6,K8&gt;=$AP$7),1,0))</f>
        <v>0</v>
      </c>
      <c r="AQ8" s="107">
        <f t="shared" ref="AQ8:AQ38" si="12">SUM(IF(AND(F8&lt;=$AQ$6,G8&gt;=$AQ$7),1,0),IF(AND(H8&lt;=$AQ$6,I8&gt;=$AQ$7),1,0),IF(AND(J8&lt;=$AQ$6,K8&gt;=$AQ$7),1,0))</f>
        <v>0</v>
      </c>
      <c r="AR8" s="123">
        <f t="shared" ref="AR8:AR38" si="13">SUM(IF(AND(F8&lt;=$AR$6,G8&gt;=$AR$7),1,0),IF(AND(H8&lt;=$AR$6,I8&gt;=$AR$7),1,0),IF(AND(J8&lt;=$AR$6,K8&gt;=$AR$7),1,0))</f>
        <v>0</v>
      </c>
      <c r="AS8" s="124">
        <f t="shared" ref="AS8:AS38" si="14">IF(OR(E8="M",E8="ME"),1,0)</f>
        <v>0</v>
      </c>
      <c r="AT8" s="124">
        <f t="shared" ref="AT8:AT38" si="15">IF(OR(E8="E",E8="ME"),1,0)</f>
        <v>0</v>
      </c>
      <c r="AU8" s="124">
        <f t="shared" ref="AU8:AU38" si="16">IF(AND(OR(D8="Jour férié semaine",D8="Jour de pont"),((G8-F8)+(I8-H8)+(K8-J8)&gt;0)),1,0)</f>
        <v>0</v>
      </c>
      <c r="AV8" s="117" t="s">
        <v>36</v>
      </c>
      <c r="AW8" s="129">
        <f>IF(($R$41=AV8)*AND($R$42&lt;&gt;""),VLOOKUP($R$42,'Barèmes police'!$B$4:$C$30,2),0)</f>
        <v>14703.88</v>
      </c>
      <c r="AX8" s="15"/>
      <c r="AY8" s="14"/>
      <c r="AZ8" s="269"/>
      <c r="BA8" s="154"/>
      <c r="BB8" s="154"/>
      <c r="BC8" s="154"/>
      <c r="BD8" s="154"/>
      <c r="BE8" s="154"/>
      <c r="BF8" s="154"/>
    </row>
    <row r="9" spans="1:58" ht="12.75" customHeight="1" x14ac:dyDescent="0.2">
      <c r="A9" s="34"/>
      <c r="B9" s="24" t="str">
        <f t="shared" si="0"/>
        <v>Je</v>
      </c>
      <c r="C9" s="25">
        <f>C8+1</f>
        <v>45414</v>
      </c>
      <c r="D9" s="51"/>
      <c r="E9" s="116"/>
      <c r="F9" s="52"/>
      <c r="G9" s="53"/>
      <c r="H9" s="52"/>
      <c r="I9" s="53"/>
      <c r="J9" s="54"/>
      <c r="K9" s="55"/>
      <c r="L9" s="40">
        <f t="shared" si="1"/>
        <v>0</v>
      </c>
      <c r="M9" s="41">
        <f>M8+L9</f>
        <v>0.31666666666666665</v>
      </c>
      <c r="N9" s="42">
        <f>IF(AND(D9&lt;&gt;"Jour libre 4/5",B9&lt;&gt;"Sa",B9&lt;&gt;"Di"),SUM(N8,Configuration!$H$41),SUM(N8))</f>
        <v>0.6333333333333333</v>
      </c>
      <c r="O9" s="49" t="str">
        <f>IF(M9-N9-$M$4&gt;=0,"+","-")</f>
        <v>-</v>
      </c>
      <c r="P9" s="143">
        <f t="shared" ref="P9:P38" si="17">ABS(M9-N9-$M$4)</f>
        <v>0.31666666666666665</v>
      </c>
      <c r="Q9" s="167">
        <f t="shared" ref="Q9:T38" si="18">AO9</f>
        <v>0</v>
      </c>
      <c r="R9" s="168">
        <f t="shared" si="18"/>
        <v>0</v>
      </c>
      <c r="S9" s="168">
        <f t="shared" si="18"/>
        <v>0</v>
      </c>
      <c r="T9" s="169">
        <f t="shared" si="18"/>
        <v>0</v>
      </c>
      <c r="U9" s="97">
        <f t="shared" si="2"/>
        <v>0</v>
      </c>
      <c r="V9" s="97">
        <f t="shared" si="3"/>
        <v>0</v>
      </c>
      <c r="W9" s="97">
        <f t="shared" si="4"/>
        <v>0</v>
      </c>
      <c r="X9" s="97">
        <f t="shared" si="5"/>
        <v>0</v>
      </c>
      <c r="Y9" s="209"/>
      <c r="Z9" s="210"/>
      <c r="AA9" s="210"/>
      <c r="AB9" s="128">
        <f>IF(AND(D9="Jour férié semaine",((G9-F9)+(I9-H9)+(K9-J9)=0)),VLOOKUP(D9,Systeemgegevens!$J:$K,2,FALSE),0)</f>
        <v>0</v>
      </c>
      <c r="AC9" s="43">
        <f>IF(AND(NOT(ISERROR(FIND("Congé",D9))),ISERROR(FIND("1/2",D9)),ISERROR(FIND("Synd",D9)),ISERROR(FIND("synd",D9)),(G9-F9+I9-H9+K9-J9)=0),VLOOKUP(D9,Systeemgegevens!$J:$K,2,FALSE),IF(AND(NOT(ISERROR(FIND("1/2 Congé + ",D9))),(G9-F9+I9-H9+K9-J9)=0),VLOOKUP(D9,Systeemgegevens!$J:$K,2,FALSE)/2,IF(AND(NOT(ISERROR(FIND("1/2 Congé",D9))),ISERROR(FIND(" + ",D9)),ISERROR(FIND("1/2 Congé Synd.",D9))),VLOOKUP(D9,Systeemgegevens!$J:$K,2,FALSE),0)))</f>
        <v>0</v>
      </c>
      <c r="AD9" s="43">
        <f>IF(AND(OR(D9="1/2 Congé Synd.",D9="Congé Synd."),((G9-F9)+(I9-H9)+(K9-J9)=0)),VLOOKUP(D9,Systeemgegevens!$J:$K,2,FALSE),IF(AND(D9="1/2 Congé + 1/2 synd.",((G9-F9)+(I9-H9)+(K9-J9)=0)),AC9,0))</f>
        <v>0</v>
      </c>
      <c r="AE9" s="43">
        <f>IF(AND(D9="Jour de pont",((G9-F9)+(I9-H9)+(K9-J9)=0)),VLOOKUP(D9,Systeemgegevens!$J:$K,2,FALSE),0)</f>
        <v>0</v>
      </c>
      <c r="AF9" s="43">
        <f>IF(AND(D9="Jour libre 4/5",AND((G9-F9)+(I9-H9)+(K9-J9)=0)),VLOOKUP(D9,Systeemgegevens!$J:$K,2,FALSE),0)</f>
        <v>0</v>
      </c>
      <c r="AG9" s="118">
        <f>IF(AND(D9&lt;&gt;"",SUM(AB9:AF9)=0,D9&lt;&gt;$AB$4,D9&lt;&gt;$AC$4,D9&lt;&gt;$AE$4,D9&lt;&gt;$AF$4),VLOOKUP(D9,Systeemgegevens!$J:$K,2,FALSE),0)</f>
        <v>0</v>
      </c>
      <c r="AH9" s="119">
        <f t="shared" si="6"/>
        <v>0</v>
      </c>
      <c r="AI9" s="101">
        <f t="shared" si="7"/>
        <v>0</v>
      </c>
      <c r="AJ9" s="118">
        <f t="shared" ref="AJ9:AJ38" si="19">SUM(AH9:AI9)</f>
        <v>0</v>
      </c>
      <c r="AK9" s="119">
        <f t="shared" si="8"/>
        <v>0</v>
      </c>
      <c r="AL9" s="101">
        <f t="shared" si="9"/>
        <v>0</v>
      </c>
      <c r="AM9" s="43">
        <f t="shared" ref="AM9:AM38" si="20">AH9-AK9</f>
        <v>0</v>
      </c>
      <c r="AN9" s="118">
        <f t="shared" ref="AN9:AN38" si="21">AK9+AL9</f>
        <v>0</v>
      </c>
      <c r="AO9" s="122">
        <f t="shared" si="10"/>
        <v>0</v>
      </c>
      <c r="AP9" s="107">
        <f t="shared" si="11"/>
        <v>0</v>
      </c>
      <c r="AQ9" s="107">
        <f t="shared" si="12"/>
        <v>0</v>
      </c>
      <c r="AR9" s="123">
        <f t="shared" si="13"/>
        <v>0</v>
      </c>
      <c r="AS9" s="124">
        <f t="shared" si="14"/>
        <v>0</v>
      </c>
      <c r="AT9" s="124">
        <f t="shared" si="15"/>
        <v>0</v>
      </c>
      <c r="AU9" s="124">
        <f t="shared" si="16"/>
        <v>0</v>
      </c>
      <c r="AV9" s="117" t="s">
        <v>35</v>
      </c>
      <c r="AW9" s="129">
        <f>IF(($R$41=AV9)*AND($R$42&lt;&gt;""),VLOOKUP($R$42,'Barèmes police'!$E$4:$F$30,2),0)</f>
        <v>0</v>
      </c>
      <c r="AX9" s="16" t="str">
        <f>IF('Types de jours'!F15&lt;&gt;"",'Types de jours'!F15,"")</f>
        <v>Congé</v>
      </c>
      <c r="AY9" s="144">
        <f>IF(AX9&lt;&gt;"",'Types de jours'!I15,"")</f>
        <v>0.31666666666666665</v>
      </c>
      <c r="AZ9" s="269"/>
      <c r="BA9" s="154"/>
      <c r="BB9" s="154"/>
      <c r="BC9" s="154"/>
      <c r="BD9" s="154"/>
      <c r="BE9" s="154"/>
      <c r="BF9" s="154"/>
    </row>
    <row r="10" spans="1:58" ht="12.75" customHeight="1" x14ac:dyDescent="0.2">
      <c r="A10" s="34"/>
      <c r="B10" s="24" t="str">
        <f t="shared" si="0"/>
        <v>Ve</v>
      </c>
      <c r="C10" s="25">
        <f t="shared" ref="C10:C38" si="22">C9+1</f>
        <v>45415</v>
      </c>
      <c r="D10" s="51"/>
      <c r="E10" s="116"/>
      <c r="F10" s="52"/>
      <c r="G10" s="53"/>
      <c r="H10" s="52"/>
      <c r="I10" s="53"/>
      <c r="J10" s="54"/>
      <c r="K10" s="55"/>
      <c r="L10" s="40">
        <f t="shared" si="1"/>
        <v>0</v>
      </c>
      <c r="M10" s="41">
        <f t="shared" ref="M10:M37" si="23">M9+L10</f>
        <v>0.31666666666666665</v>
      </c>
      <c r="N10" s="42">
        <f>IF(AND(D10&lt;&gt;"Jour libre 4/5",B10&lt;&gt;"Sa",B10&lt;&gt;"Di"),SUM(N9,Configuration!$H$41),SUM(N9))</f>
        <v>0.95</v>
      </c>
      <c r="O10" s="49" t="str">
        <f t="shared" ref="O10:O38" si="24">IF(M10-N10-$M$4&gt;=0,"+","-")</f>
        <v>-</v>
      </c>
      <c r="P10" s="143">
        <f t="shared" si="17"/>
        <v>0.6333333333333333</v>
      </c>
      <c r="Q10" s="167">
        <f t="shared" si="18"/>
        <v>0</v>
      </c>
      <c r="R10" s="168">
        <f t="shared" si="18"/>
        <v>0</v>
      </c>
      <c r="S10" s="168">
        <f t="shared" si="18"/>
        <v>0</v>
      </c>
      <c r="T10" s="169">
        <f t="shared" si="18"/>
        <v>0</v>
      </c>
      <c r="U10" s="97">
        <f t="shared" si="2"/>
        <v>0</v>
      </c>
      <c r="V10" s="97">
        <f t="shared" si="3"/>
        <v>0</v>
      </c>
      <c r="W10" s="97">
        <f t="shared" si="4"/>
        <v>0</v>
      </c>
      <c r="X10" s="97">
        <f t="shared" si="5"/>
        <v>0</v>
      </c>
      <c r="Y10" s="209"/>
      <c r="Z10" s="210"/>
      <c r="AA10" s="210"/>
      <c r="AB10" s="128">
        <f>IF(AND(D10="Jour férié semaine",((G10-F10)+(I10-H10)+(K10-J10)=0)),VLOOKUP(D10,Systeemgegevens!$J:$K,2,FALSE),0)</f>
        <v>0</v>
      </c>
      <c r="AC10" s="43">
        <f>IF(AND(NOT(ISERROR(FIND("Congé",D10))),ISERROR(FIND("1/2",D10)),ISERROR(FIND("Synd",D10)),ISERROR(FIND("synd",D10)),(G10-F10+I10-H10+K10-J10)=0),VLOOKUP(D10,Systeemgegevens!$J:$K,2,FALSE),IF(AND(NOT(ISERROR(FIND("1/2 Congé + ",D10))),(G10-F10+I10-H10+K10-J10)=0),VLOOKUP(D10,Systeemgegevens!$J:$K,2,FALSE)/2,IF(AND(NOT(ISERROR(FIND("1/2 Congé",D10))),ISERROR(FIND(" + ",D10)),ISERROR(FIND("1/2 Congé Synd.",D10))),VLOOKUP(D10,Systeemgegevens!$J:$K,2,FALSE),0)))</f>
        <v>0</v>
      </c>
      <c r="AD10" s="43">
        <f>IF(AND(OR(D10="1/2 Congé Synd.",D10="Congé Synd."),((G10-F10)+(I10-H10)+(K10-J10)=0)),VLOOKUP(D10,Systeemgegevens!$J:$K,2,FALSE),IF(AND(D10="1/2 Congé + 1/2 synd.",((G10-F10)+(I10-H10)+(K10-J10)=0)),AC10,0))</f>
        <v>0</v>
      </c>
      <c r="AE10" s="43">
        <f>IF(AND(D10="Jour de pont",((G10-F10)+(I10-H10)+(K10-J10)=0)),VLOOKUP(D10,Systeemgegevens!$J:$K,2,FALSE),0)</f>
        <v>0</v>
      </c>
      <c r="AF10" s="43">
        <f>IF(AND(D10="Jour libre 4/5",AND((G10-F10)+(I10-H10)+(K10-J10)=0)),VLOOKUP(D10,Systeemgegevens!$J:$K,2,FALSE),0)</f>
        <v>0</v>
      </c>
      <c r="AG10" s="118">
        <f>IF(AND(D10&lt;&gt;"",SUM(AB10:AF10)=0,D10&lt;&gt;$AB$4,D10&lt;&gt;$AC$4,D10&lt;&gt;$AE$4,D10&lt;&gt;$AF$4),VLOOKUP(D10,Systeemgegevens!$J:$K,2,FALSE),0)</f>
        <v>0</v>
      </c>
      <c r="AH10" s="119">
        <f t="shared" si="6"/>
        <v>0</v>
      </c>
      <c r="AI10" s="101">
        <f t="shared" si="7"/>
        <v>0</v>
      </c>
      <c r="AJ10" s="118">
        <f t="shared" si="19"/>
        <v>0</v>
      </c>
      <c r="AK10" s="119">
        <f t="shared" si="8"/>
        <v>0</v>
      </c>
      <c r="AL10" s="101">
        <f t="shared" si="9"/>
        <v>0</v>
      </c>
      <c r="AM10" s="43">
        <f t="shared" si="20"/>
        <v>0</v>
      </c>
      <c r="AN10" s="118">
        <f t="shared" si="21"/>
        <v>0</v>
      </c>
      <c r="AO10" s="122">
        <f t="shared" si="10"/>
        <v>0</v>
      </c>
      <c r="AP10" s="107">
        <f t="shared" si="11"/>
        <v>0</v>
      </c>
      <c r="AQ10" s="107">
        <f t="shared" si="12"/>
        <v>0</v>
      </c>
      <c r="AR10" s="123">
        <f t="shared" si="13"/>
        <v>0</v>
      </c>
      <c r="AS10" s="124">
        <f t="shared" si="14"/>
        <v>0</v>
      </c>
      <c r="AT10" s="124">
        <f t="shared" si="15"/>
        <v>0</v>
      </c>
      <c r="AU10" s="124">
        <f t="shared" si="16"/>
        <v>0</v>
      </c>
      <c r="AV10" s="117" t="s">
        <v>34</v>
      </c>
      <c r="AW10" s="129">
        <f>IF(($R$41=AV10)*AND($R$42&lt;&gt;""),VLOOKUP($R$42,'Barèmes police'!$H$4:$I$30,2),0)</f>
        <v>0</v>
      </c>
      <c r="AX10" s="16" t="str">
        <f>IF('Types de jours'!F16&lt;&gt;"",'Types de jours'!F16,"")</f>
        <v>1/2 Congé</v>
      </c>
      <c r="AY10" s="144">
        <f>IF(AX10&lt;&gt;"",'Types de jours'!I16,"")</f>
        <v>0.15833333333333333</v>
      </c>
      <c r="AZ10" s="269"/>
      <c r="BA10" s="154"/>
      <c r="BB10" s="154"/>
      <c r="BC10" s="154"/>
      <c r="BD10" s="154"/>
      <c r="BE10" s="154"/>
      <c r="BF10" s="154"/>
    </row>
    <row r="11" spans="1:58" ht="12.75" customHeight="1" x14ac:dyDescent="0.2">
      <c r="A11" s="34"/>
      <c r="B11" s="24" t="str">
        <f t="shared" si="0"/>
        <v>Sa</v>
      </c>
      <c r="C11" s="25">
        <f t="shared" si="22"/>
        <v>45416</v>
      </c>
      <c r="D11" s="51"/>
      <c r="E11" s="116"/>
      <c r="F11" s="52"/>
      <c r="G11" s="53"/>
      <c r="H11" s="52"/>
      <c r="I11" s="53"/>
      <c r="J11" s="54"/>
      <c r="K11" s="55"/>
      <c r="L11" s="40">
        <f t="shared" si="1"/>
        <v>0</v>
      </c>
      <c r="M11" s="41">
        <f t="shared" si="23"/>
        <v>0.31666666666666665</v>
      </c>
      <c r="N11" s="42">
        <f>IF(AND(D11&lt;&gt;"Jour libre 4/5",B11&lt;&gt;"Sa",B11&lt;&gt;"Di"),SUM(N10,Configuration!$H$41),SUM(N10))</f>
        <v>0.95</v>
      </c>
      <c r="O11" s="49" t="str">
        <f t="shared" si="24"/>
        <v>-</v>
      </c>
      <c r="P11" s="143">
        <f t="shared" si="17"/>
        <v>0.6333333333333333</v>
      </c>
      <c r="Q11" s="167">
        <f t="shared" si="18"/>
        <v>0</v>
      </c>
      <c r="R11" s="168">
        <f t="shared" si="18"/>
        <v>0</v>
      </c>
      <c r="S11" s="168">
        <f t="shared" si="18"/>
        <v>0</v>
      </c>
      <c r="T11" s="169">
        <f t="shared" si="18"/>
        <v>0</v>
      </c>
      <c r="U11" s="97">
        <f t="shared" si="2"/>
        <v>0</v>
      </c>
      <c r="V11" s="97">
        <f t="shared" si="3"/>
        <v>0</v>
      </c>
      <c r="W11" s="97">
        <f t="shared" si="4"/>
        <v>0</v>
      </c>
      <c r="X11" s="97">
        <f t="shared" si="5"/>
        <v>0</v>
      </c>
      <c r="Y11" s="209"/>
      <c r="Z11" s="210"/>
      <c r="AA11" s="210"/>
      <c r="AB11" s="128">
        <f>IF(AND(D11="Jour férié semaine",((G11-F11)+(I11-H11)+(K11-J11)=0)),VLOOKUP(D11,Systeemgegevens!$J:$K,2,FALSE),0)</f>
        <v>0</v>
      </c>
      <c r="AC11" s="43">
        <f>IF(AND(NOT(ISERROR(FIND("Congé",D11))),ISERROR(FIND("1/2",D11)),ISERROR(FIND("Synd",D11)),ISERROR(FIND("synd",D11)),(G11-F11+I11-H11+K11-J11)=0),VLOOKUP(D11,Systeemgegevens!$J:$K,2,FALSE),IF(AND(NOT(ISERROR(FIND("1/2 Congé + ",D11))),(G11-F11+I11-H11+K11-J11)=0),VLOOKUP(D11,Systeemgegevens!$J:$K,2,FALSE)/2,IF(AND(NOT(ISERROR(FIND("1/2 Congé",D11))),ISERROR(FIND(" + ",D11)),ISERROR(FIND("1/2 Congé Synd.",D11))),VLOOKUP(D11,Systeemgegevens!$J:$K,2,FALSE),0)))</f>
        <v>0</v>
      </c>
      <c r="AD11" s="43">
        <f>IF(AND(OR(D11="1/2 Congé Synd.",D11="Congé Synd."),((G11-F11)+(I11-H11)+(K11-J11)=0)),VLOOKUP(D11,Systeemgegevens!$J:$K,2,FALSE),IF(AND(D11="1/2 Congé + 1/2 synd.",((G11-F11)+(I11-H11)+(K11-J11)=0)),AC11,0))</f>
        <v>0</v>
      </c>
      <c r="AE11" s="43">
        <f>IF(AND(D11="Jour de pont",((G11-F11)+(I11-H11)+(K11-J11)=0)),VLOOKUP(D11,Systeemgegevens!$J:$K,2,FALSE),0)</f>
        <v>0</v>
      </c>
      <c r="AF11" s="43">
        <f>IF(AND(D11="Jour libre 4/5",AND((G11-F11)+(I11-H11)+(K11-J11)=0)),VLOOKUP(D11,Systeemgegevens!$J:$K,2,FALSE),0)</f>
        <v>0</v>
      </c>
      <c r="AG11" s="118">
        <f>IF(AND(D11&lt;&gt;"",SUM(AB11:AF11)=0,D11&lt;&gt;$AB$4,D11&lt;&gt;$AC$4,D11&lt;&gt;$AE$4,D11&lt;&gt;$AF$4),VLOOKUP(D11,Systeemgegevens!$J:$K,2,FALSE),0)</f>
        <v>0</v>
      </c>
      <c r="AH11" s="119">
        <f t="shared" si="6"/>
        <v>0</v>
      </c>
      <c r="AI11" s="101">
        <f t="shared" si="7"/>
        <v>0</v>
      </c>
      <c r="AJ11" s="118">
        <f t="shared" si="19"/>
        <v>0</v>
      </c>
      <c r="AK11" s="119">
        <f t="shared" si="8"/>
        <v>0</v>
      </c>
      <c r="AL11" s="101">
        <f t="shared" si="9"/>
        <v>0</v>
      </c>
      <c r="AM11" s="43">
        <f t="shared" si="20"/>
        <v>0</v>
      </c>
      <c r="AN11" s="118">
        <f t="shared" si="21"/>
        <v>0</v>
      </c>
      <c r="AO11" s="122">
        <f t="shared" si="10"/>
        <v>0</v>
      </c>
      <c r="AP11" s="107">
        <f t="shared" si="11"/>
        <v>0</v>
      </c>
      <c r="AQ11" s="107">
        <f t="shared" si="12"/>
        <v>0</v>
      </c>
      <c r="AR11" s="123">
        <f t="shared" si="13"/>
        <v>0</v>
      </c>
      <c r="AS11" s="124">
        <f t="shared" si="14"/>
        <v>0</v>
      </c>
      <c r="AT11" s="124">
        <f t="shared" si="15"/>
        <v>0</v>
      </c>
      <c r="AU11" s="124">
        <f t="shared" si="16"/>
        <v>0</v>
      </c>
      <c r="AV11" s="117" t="s">
        <v>268</v>
      </c>
      <c r="AW11" s="129">
        <f>IF(($R$41=AV11)*AND($R$42&lt;&gt;""),VLOOKUP($R$42,'Barèmes police'!$K$4:$L$30,2),0)</f>
        <v>0</v>
      </c>
      <c r="AX11" s="16" t="str">
        <f>IF('Types de jours'!F17&lt;&gt;"",'Types de jours'!F17,"")</f>
        <v>Malade</v>
      </c>
      <c r="AY11" s="144">
        <f>IF(AX11&lt;&gt;"",'Types de jours'!I17,"")</f>
        <v>0.31666666666666665</v>
      </c>
      <c r="AZ11" s="269"/>
      <c r="BA11" s="154"/>
      <c r="BB11" s="154"/>
      <c r="BC11" s="154"/>
      <c r="BD11" s="154"/>
      <c r="BE11" s="154"/>
      <c r="BF11" s="154"/>
    </row>
    <row r="12" spans="1:58" ht="12.75" customHeight="1" x14ac:dyDescent="0.2">
      <c r="A12" s="34"/>
      <c r="B12" s="24" t="str">
        <f t="shared" si="0"/>
        <v>Di</v>
      </c>
      <c r="C12" s="25">
        <f t="shared" si="22"/>
        <v>45417</v>
      </c>
      <c r="D12" s="51"/>
      <c r="E12" s="116"/>
      <c r="F12" s="52"/>
      <c r="G12" s="53"/>
      <c r="H12" s="52"/>
      <c r="I12" s="53"/>
      <c r="J12" s="54"/>
      <c r="K12" s="55"/>
      <c r="L12" s="40">
        <f t="shared" si="1"/>
        <v>0</v>
      </c>
      <c r="M12" s="41">
        <f t="shared" si="23"/>
        <v>0.31666666666666665</v>
      </c>
      <c r="N12" s="42">
        <f>IF(AND(D12&lt;&gt;"Jour libre 4/5",B12&lt;&gt;"Sa",B12&lt;&gt;"Di"),SUM(N11,Configuration!$H$41),SUM(N11))</f>
        <v>0.95</v>
      </c>
      <c r="O12" s="49" t="str">
        <f t="shared" si="24"/>
        <v>-</v>
      </c>
      <c r="P12" s="143">
        <f t="shared" si="17"/>
        <v>0.6333333333333333</v>
      </c>
      <c r="Q12" s="167">
        <f t="shared" si="18"/>
        <v>0</v>
      </c>
      <c r="R12" s="168">
        <f t="shared" si="18"/>
        <v>0</v>
      </c>
      <c r="S12" s="168">
        <f t="shared" si="18"/>
        <v>0</v>
      </c>
      <c r="T12" s="169">
        <f t="shared" si="18"/>
        <v>0</v>
      </c>
      <c r="U12" s="97">
        <f t="shared" si="2"/>
        <v>0</v>
      </c>
      <c r="V12" s="97">
        <f t="shared" si="3"/>
        <v>0</v>
      </c>
      <c r="W12" s="97">
        <f t="shared" si="4"/>
        <v>0</v>
      </c>
      <c r="X12" s="97">
        <f t="shared" si="5"/>
        <v>0</v>
      </c>
      <c r="Y12" s="209"/>
      <c r="Z12" s="210"/>
      <c r="AA12" s="210"/>
      <c r="AB12" s="128">
        <f>IF(AND(D12="Jour férié semaine",((G12-F12)+(I12-H12)+(K12-J12)=0)),VLOOKUP(D12,Systeemgegevens!$J:$K,2,FALSE),0)</f>
        <v>0</v>
      </c>
      <c r="AC12" s="43">
        <f>IF(AND(NOT(ISERROR(FIND("Congé",D12))),ISERROR(FIND("1/2",D12)),ISERROR(FIND("Synd",D12)),ISERROR(FIND("synd",D12)),(G12-F12+I12-H12+K12-J12)=0),VLOOKUP(D12,Systeemgegevens!$J:$K,2,FALSE),IF(AND(NOT(ISERROR(FIND("1/2 Congé + ",D12))),(G12-F12+I12-H12+K12-J12)=0),VLOOKUP(D12,Systeemgegevens!$J:$K,2,FALSE)/2,IF(AND(NOT(ISERROR(FIND("1/2 Congé",D12))),ISERROR(FIND(" + ",D12)),ISERROR(FIND("1/2 Congé Synd.",D12))),VLOOKUP(D12,Systeemgegevens!$J:$K,2,FALSE),0)))</f>
        <v>0</v>
      </c>
      <c r="AD12" s="43">
        <f>IF(AND(OR(D12="1/2 Congé Synd.",D12="Congé Synd."),((G12-F12)+(I12-H12)+(K12-J12)=0)),VLOOKUP(D12,Systeemgegevens!$J:$K,2,FALSE),IF(AND(D12="1/2 Congé + 1/2 synd.",((G12-F12)+(I12-H12)+(K12-J12)=0)),AC12,0))</f>
        <v>0</v>
      </c>
      <c r="AE12" s="43">
        <f>IF(AND(D12="Jour de pont",((G12-F12)+(I12-H12)+(K12-J12)=0)),VLOOKUP(D12,Systeemgegevens!$J:$K,2,FALSE),0)</f>
        <v>0</v>
      </c>
      <c r="AF12" s="43">
        <f>IF(AND(D12="Jour libre 4/5",AND((G12-F12)+(I12-H12)+(K12-J12)=0)),VLOOKUP(D12,Systeemgegevens!$J:$K,2,FALSE),0)</f>
        <v>0</v>
      </c>
      <c r="AG12" s="118">
        <f>IF(AND(D12&lt;&gt;"",SUM(AB12:AF12)=0,D12&lt;&gt;$AB$4,D12&lt;&gt;$AC$4,D12&lt;&gt;$AE$4,D12&lt;&gt;$AF$4),VLOOKUP(D12,Systeemgegevens!$J:$K,2,FALSE),0)</f>
        <v>0</v>
      </c>
      <c r="AH12" s="119">
        <f t="shared" si="6"/>
        <v>0</v>
      </c>
      <c r="AI12" s="101">
        <f t="shared" si="7"/>
        <v>0</v>
      </c>
      <c r="AJ12" s="118">
        <f t="shared" si="19"/>
        <v>0</v>
      </c>
      <c r="AK12" s="119">
        <f t="shared" si="8"/>
        <v>0</v>
      </c>
      <c r="AL12" s="101">
        <f t="shared" si="9"/>
        <v>0</v>
      </c>
      <c r="AM12" s="43">
        <f t="shared" si="20"/>
        <v>0</v>
      </c>
      <c r="AN12" s="118">
        <f t="shared" si="21"/>
        <v>0</v>
      </c>
      <c r="AO12" s="122">
        <f t="shared" si="10"/>
        <v>0</v>
      </c>
      <c r="AP12" s="107">
        <f t="shared" si="11"/>
        <v>0</v>
      </c>
      <c r="AQ12" s="107">
        <f t="shared" si="12"/>
        <v>0</v>
      </c>
      <c r="AR12" s="123">
        <f t="shared" si="13"/>
        <v>0</v>
      </c>
      <c r="AS12" s="124">
        <f t="shared" si="14"/>
        <v>0</v>
      </c>
      <c r="AT12" s="124">
        <f t="shared" si="15"/>
        <v>0</v>
      </c>
      <c r="AU12" s="124">
        <f t="shared" si="16"/>
        <v>0</v>
      </c>
      <c r="AV12" s="117" t="s">
        <v>33</v>
      </c>
      <c r="AW12" s="129">
        <f>IF(($R$41=AV12)*AND($R$42&lt;&gt;""),VLOOKUP($R$42,'Barèmes police'!$N$4:$O$30,2),0)</f>
        <v>0</v>
      </c>
      <c r="AX12" s="16" t="str">
        <f>IF('Types de jours'!F18&lt;&gt;"",'Types de jours'!F18,"")</f>
        <v>Acc. de travail</v>
      </c>
      <c r="AY12" s="144">
        <f>IF(AX12&lt;&gt;"",'Types de jours'!I18,"")</f>
        <v>0.31666666666666665</v>
      </c>
      <c r="AZ12" s="269"/>
      <c r="BA12" s="154"/>
      <c r="BB12" s="154"/>
      <c r="BC12" s="154"/>
      <c r="BD12" s="154"/>
      <c r="BE12" s="154"/>
      <c r="BF12" s="154"/>
    </row>
    <row r="13" spans="1:58" ht="12.75" customHeight="1" x14ac:dyDescent="0.2">
      <c r="A13" s="34"/>
      <c r="B13" s="24" t="str">
        <f t="shared" si="0"/>
        <v>Lu</v>
      </c>
      <c r="C13" s="25">
        <f t="shared" si="22"/>
        <v>45418</v>
      </c>
      <c r="D13" s="51"/>
      <c r="E13" s="116"/>
      <c r="F13" s="52"/>
      <c r="G13" s="53"/>
      <c r="H13" s="52"/>
      <c r="I13" s="53"/>
      <c r="J13" s="54"/>
      <c r="K13" s="55"/>
      <c r="L13" s="40">
        <f t="shared" si="1"/>
        <v>0</v>
      </c>
      <c r="M13" s="41">
        <f t="shared" si="23"/>
        <v>0.31666666666666665</v>
      </c>
      <c r="N13" s="42">
        <f>IF(AND(D13&lt;&gt;"Jour libre 4/5",B13&lt;&gt;"Sa",B13&lt;&gt;"Di"),SUM(N12,Configuration!$H$41),SUM(N12))</f>
        <v>1.2666666666666666</v>
      </c>
      <c r="O13" s="49" t="str">
        <f t="shared" si="24"/>
        <v>-</v>
      </c>
      <c r="P13" s="143">
        <f t="shared" si="17"/>
        <v>0.95</v>
      </c>
      <c r="Q13" s="167">
        <f t="shared" si="18"/>
        <v>0</v>
      </c>
      <c r="R13" s="168">
        <f t="shared" si="18"/>
        <v>0</v>
      </c>
      <c r="S13" s="168">
        <f t="shared" si="18"/>
        <v>0</v>
      </c>
      <c r="T13" s="169">
        <f t="shared" si="18"/>
        <v>0</v>
      </c>
      <c r="U13" s="97">
        <f t="shared" si="2"/>
        <v>0</v>
      </c>
      <c r="V13" s="97">
        <f t="shared" si="3"/>
        <v>0</v>
      </c>
      <c r="W13" s="97">
        <f t="shared" si="4"/>
        <v>0</v>
      </c>
      <c r="X13" s="97">
        <f t="shared" si="5"/>
        <v>0</v>
      </c>
      <c r="Y13" s="209"/>
      <c r="Z13" s="210"/>
      <c r="AA13" s="210"/>
      <c r="AB13" s="128">
        <f>IF(AND(D13="Jour férié semaine",((G13-F13)+(I13-H13)+(K13-J13)=0)),VLOOKUP(D13,Systeemgegevens!$J:$K,2,FALSE),0)</f>
        <v>0</v>
      </c>
      <c r="AC13" s="43">
        <f>IF(AND(NOT(ISERROR(FIND("Congé",D13))),ISERROR(FIND("1/2",D13)),ISERROR(FIND("Synd",D13)),ISERROR(FIND("synd",D13)),(G13-F13+I13-H13+K13-J13)=0),VLOOKUP(D13,Systeemgegevens!$J:$K,2,FALSE),IF(AND(NOT(ISERROR(FIND("1/2 Congé + ",D13))),(G13-F13+I13-H13+K13-J13)=0),VLOOKUP(D13,Systeemgegevens!$J:$K,2,FALSE)/2,IF(AND(NOT(ISERROR(FIND("1/2 Congé",D13))),ISERROR(FIND(" + ",D13)),ISERROR(FIND("1/2 Congé Synd.",D13))),VLOOKUP(D13,Systeemgegevens!$J:$K,2,FALSE),0)))</f>
        <v>0</v>
      </c>
      <c r="AD13" s="43">
        <f>IF(AND(OR(D13="1/2 Congé Synd.",D13="Congé Synd."),((G13-F13)+(I13-H13)+(K13-J13)=0)),VLOOKUP(D13,Systeemgegevens!$J:$K,2,FALSE),IF(AND(D13="1/2 Congé + 1/2 synd.",((G13-F13)+(I13-H13)+(K13-J13)=0)),AC13,0))</f>
        <v>0</v>
      </c>
      <c r="AE13" s="43">
        <f>IF(AND(D13="Jour de pont",((G13-F13)+(I13-H13)+(K13-J13)=0)),VLOOKUP(D13,Systeemgegevens!$J:$K,2,FALSE),0)</f>
        <v>0</v>
      </c>
      <c r="AF13" s="43">
        <f>IF(AND(D13="Jour libre 4/5",AND((G13-F13)+(I13-H13)+(K13-J13)=0)),VLOOKUP(D13,Systeemgegevens!$J:$K,2,FALSE),0)</f>
        <v>0</v>
      </c>
      <c r="AG13" s="118">
        <f>IF(AND(D13&lt;&gt;"",SUM(AB13:AF13)=0,D13&lt;&gt;$AB$4,D13&lt;&gt;$AC$4,D13&lt;&gt;$AE$4,D13&lt;&gt;$AF$4),VLOOKUP(D13,Systeemgegevens!$J:$K,2,FALSE),0)</f>
        <v>0</v>
      </c>
      <c r="AH13" s="119">
        <f t="shared" si="6"/>
        <v>0</v>
      </c>
      <c r="AI13" s="101">
        <f t="shared" si="7"/>
        <v>0</v>
      </c>
      <c r="AJ13" s="118">
        <f t="shared" si="19"/>
        <v>0</v>
      </c>
      <c r="AK13" s="119">
        <f t="shared" si="8"/>
        <v>0</v>
      </c>
      <c r="AL13" s="101">
        <f t="shared" si="9"/>
        <v>0</v>
      </c>
      <c r="AM13" s="43">
        <f t="shared" si="20"/>
        <v>0</v>
      </c>
      <c r="AN13" s="118">
        <f t="shared" si="21"/>
        <v>0</v>
      </c>
      <c r="AO13" s="122">
        <f t="shared" si="10"/>
        <v>0</v>
      </c>
      <c r="AP13" s="107">
        <f t="shared" si="11"/>
        <v>0</v>
      </c>
      <c r="AQ13" s="107">
        <f t="shared" si="12"/>
        <v>0</v>
      </c>
      <c r="AR13" s="123">
        <f t="shared" si="13"/>
        <v>0</v>
      </c>
      <c r="AS13" s="124">
        <f t="shared" si="14"/>
        <v>0</v>
      </c>
      <c r="AT13" s="124">
        <f t="shared" si="15"/>
        <v>0</v>
      </c>
      <c r="AU13" s="124">
        <f t="shared" si="16"/>
        <v>0</v>
      </c>
      <c r="AV13" s="117" t="s">
        <v>32</v>
      </c>
      <c r="AW13" s="129">
        <f>IF(($R$41=AV13)*AND($R$42&lt;&gt;""),VLOOKUP($R$42,'Barèmes police'!$Q$4:$R$30,2),0)</f>
        <v>0</v>
      </c>
      <c r="AX13" s="16" t="str">
        <f>IF('Types de jours'!F19&lt;&gt;"",'Types de jours'!F19,"")</f>
        <v>Congé Synd.</v>
      </c>
      <c r="AY13" s="144">
        <f>IF(AX13&lt;&gt;"",'Types de jours'!I19,"")</f>
        <v>0.31666666666666665</v>
      </c>
      <c r="AZ13" s="269"/>
      <c r="BA13" s="154"/>
      <c r="BB13" s="154"/>
      <c r="BC13" s="154"/>
      <c r="BD13" s="154"/>
      <c r="BE13" s="154"/>
      <c r="BF13" s="154"/>
    </row>
    <row r="14" spans="1:58" ht="12.75" customHeight="1" x14ac:dyDescent="0.2">
      <c r="A14" s="34"/>
      <c r="B14" s="24" t="str">
        <f t="shared" si="0"/>
        <v>Ma</v>
      </c>
      <c r="C14" s="25">
        <f t="shared" si="22"/>
        <v>45419</v>
      </c>
      <c r="D14" s="51"/>
      <c r="E14" s="116"/>
      <c r="F14" s="52"/>
      <c r="G14" s="53"/>
      <c r="H14" s="52"/>
      <c r="I14" s="53"/>
      <c r="J14" s="54"/>
      <c r="K14" s="55"/>
      <c r="L14" s="40">
        <f t="shared" si="1"/>
        <v>0</v>
      </c>
      <c r="M14" s="41">
        <f t="shared" si="23"/>
        <v>0.31666666666666665</v>
      </c>
      <c r="N14" s="42">
        <f>IF(AND(D14&lt;&gt;"Jour libre 4/5",B14&lt;&gt;"Sa",B14&lt;&gt;"Di"),SUM(N13,Configuration!$H$41),SUM(N13))</f>
        <v>1.5833333333333333</v>
      </c>
      <c r="O14" s="49" t="str">
        <f t="shared" si="24"/>
        <v>-</v>
      </c>
      <c r="P14" s="143">
        <f t="shared" si="17"/>
        <v>1.2666666666666666</v>
      </c>
      <c r="Q14" s="167">
        <f t="shared" si="18"/>
        <v>0</v>
      </c>
      <c r="R14" s="168">
        <f t="shared" si="18"/>
        <v>0</v>
      </c>
      <c r="S14" s="168">
        <f t="shared" si="18"/>
        <v>0</v>
      </c>
      <c r="T14" s="169">
        <f t="shared" si="18"/>
        <v>0</v>
      </c>
      <c r="U14" s="97">
        <f t="shared" si="2"/>
        <v>0</v>
      </c>
      <c r="V14" s="97">
        <f t="shared" si="3"/>
        <v>0</v>
      </c>
      <c r="W14" s="97">
        <f t="shared" si="4"/>
        <v>0</v>
      </c>
      <c r="X14" s="97">
        <f t="shared" si="5"/>
        <v>0</v>
      </c>
      <c r="Y14" s="209"/>
      <c r="Z14" s="210"/>
      <c r="AA14" s="210"/>
      <c r="AB14" s="128">
        <f>IF(AND(D14="Jour férié semaine",((G14-F14)+(I14-H14)+(K14-J14)=0)),VLOOKUP(D14,Systeemgegevens!$J:$K,2,FALSE),0)</f>
        <v>0</v>
      </c>
      <c r="AC14" s="43">
        <f>IF(AND(NOT(ISERROR(FIND("Congé",D14))),ISERROR(FIND("1/2",D14)),ISERROR(FIND("Synd",D14)),ISERROR(FIND("synd",D14)),(G14-F14+I14-H14+K14-J14)=0),VLOOKUP(D14,Systeemgegevens!$J:$K,2,FALSE),IF(AND(NOT(ISERROR(FIND("1/2 Congé + ",D14))),(G14-F14+I14-H14+K14-J14)=0),VLOOKUP(D14,Systeemgegevens!$J:$K,2,FALSE)/2,IF(AND(NOT(ISERROR(FIND("1/2 Congé",D14))),ISERROR(FIND(" + ",D14)),ISERROR(FIND("1/2 Congé Synd.",D14))),VLOOKUP(D14,Systeemgegevens!$J:$K,2,FALSE),0)))</f>
        <v>0</v>
      </c>
      <c r="AD14" s="43">
        <f>IF(AND(OR(D14="1/2 Congé Synd.",D14="Congé Synd."),((G14-F14)+(I14-H14)+(K14-J14)=0)),VLOOKUP(D14,Systeemgegevens!$J:$K,2,FALSE),IF(AND(D14="1/2 Congé + 1/2 synd.",((G14-F14)+(I14-H14)+(K14-J14)=0)),AC14,0))</f>
        <v>0</v>
      </c>
      <c r="AE14" s="43">
        <f>IF(AND(D14="Jour de pont",((G14-F14)+(I14-H14)+(K14-J14)=0)),VLOOKUP(D14,Systeemgegevens!$J:$K,2,FALSE),0)</f>
        <v>0</v>
      </c>
      <c r="AF14" s="43">
        <f>IF(AND(D14="Jour libre 4/5",AND((G14-F14)+(I14-H14)+(K14-J14)=0)),VLOOKUP(D14,Systeemgegevens!$J:$K,2,FALSE),0)</f>
        <v>0</v>
      </c>
      <c r="AG14" s="118">
        <f>IF(AND(D14&lt;&gt;"",SUM(AB14:AF14)=0,D14&lt;&gt;$AB$4,D14&lt;&gt;$AC$4,D14&lt;&gt;$AE$4,D14&lt;&gt;$AF$4),VLOOKUP(D14,Systeemgegevens!$J:$K,2,FALSE),0)</f>
        <v>0</v>
      </c>
      <c r="AH14" s="119">
        <f t="shared" si="6"/>
        <v>0</v>
      </c>
      <c r="AI14" s="101">
        <f t="shared" si="7"/>
        <v>0</v>
      </c>
      <c r="AJ14" s="118">
        <f t="shared" si="19"/>
        <v>0</v>
      </c>
      <c r="AK14" s="119">
        <f t="shared" si="8"/>
        <v>0</v>
      </c>
      <c r="AL14" s="101">
        <f t="shared" si="9"/>
        <v>0</v>
      </c>
      <c r="AM14" s="43">
        <f t="shared" si="20"/>
        <v>0</v>
      </c>
      <c r="AN14" s="118">
        <f t="shared" si="21"/>
        <v>0</v>
      </c>
      <c r="AO14" s="122">
        <f t="shared" si="10"/>
        <v>0</v>
      </c>
      <c r="AP14" s="107">
        <f t="shared" si="11"/>
        <v>0</v>
      </c>
      <c r="AQ14" s="107">
        <f t="shared" si="12"/>
        <v>0</v>
      </c>
      <c r="AR14" s="123">
        <f t="shared" si="13"/>
        <v>0</v>
      </c>
      <c r="AS14" s="124">
        <f t="shared" si="14"/>
        <v>0</v>
      </c>
      <c r="AT14" s="124">
        <f t="shared" si="15"/>
        <v>0</v>
      </c>
      <c r="AU14" s="124">
        <f t="shared" si="16"/>
        <v>0</v>
      </c>
      <c r="AV14" s="117" t="s">
        <v>31</v>
      </c>
      <c r="AW14" s="129">
        <f>IF(($R$41=AV14)*AND($R$42&lt;&gt;""),VLOOKUP($R$42,'Barèmes police'!$T$4:$U$30,2),0)</f>
        <v>0</v>
      </c>
      <c r="AX14" s="16" t="str">
        <f>IF('Types de jours'!F20&lt;&gt;"",'Types de jours'!F20,"")</f>
        <v>1/2 Congé Synd.</v>
      </c>
      <c r="AY14" s="144">
        <f>IF(AX14&lt;&gt;"",'Types de jours'!I20,"")</f>
        <v>0.15833333333333333</v>
      </c>
      <c r="AZ14" s="269"/>
      <c r="BA14" s="154"/>
      <c r="BB14" s="154"/>
      <c r="BC14" s="154"/>
      <c r="BD14" s="154"/>
      <c r="BE14" s="154"/>
      <c r="BF14" s="154"/>
    </row>
    <row r="15" spans="1:58" ht="12.75" customHeight="1" x14ac:dyDescent="0.2">
      <c r="A15" s="34"/>
      <c r="B15" s="24" t="str">
        <f t="shared" si="0"/>
        <v>Me</v>
      </c>
      <c r="C15" s="25">
        <f t="shared" si="22"/>
        <v>45420</v>
      </c>
      <c r="D15" s="51"/>
      <c r="E15" s="116"/>
      <c r="F15" s="52"/>
      <c r="G15" s="53"/>
      <c r="H15" s="52"/>
      <c r="I15" s="53"/>
      <c r="J15" s="54"/>
      <c r="K15" s="55"/>
      <c r="L15" s="40">
        <f t="shared" si="1"/>
        <v>0</v>
      </c>
      <c r="M15" s="41">
        <f t="shared" si="23"/>
        <v>0.31666666666666665</v>
      </c>
      <c r="N15" s="42">
        <f>IF(AND(D15&lt;&gt;"Jour libre 4/5",B15&lt;&gt;"Sa",B15&lt;&gt;"Di"),SUM(N14,Configuration!$H$41),SUM(N14))</f>
        <v>1.9</v>
      </c>
      <c r="O15" s="49" t="str">
        <f t="shared" si="24"/>
        <v>-</v>
      </c>
      <c r="P15" s="143">
        <f t="shared" si="17"/>
        <v>1.5833333333333333</v>
      </c>
      <c r="Q15" s="167">
        <f t="shared" si="18"/>
        <v>0</v>
      </c>
      <c r="R15" s="168">
        <f t="shared" si="18"/>
        <v>0</v>
      </c>
      <c r="S15" s="168">
        <f t="shared" si="18"/>
        <v>0</v>
      </c>
      <c r="T15" s="169">
        <f t="shared" si="18"/>
        <v>0</v>
      </c>
      <c r="U15" s="97">
        <f t="shared" si="2"/>
        <v>0</v>
      </c>
      <c r="V15" s="97">
        <f t="shared" si="3"/>
        <v>0</v>
      </c>
      <c r="W15" s="97">
        <f t="shared" si="4"/>
        <v>0</v>
      </c>
      <c r="X15" s="97">
        <f t="shared" si="5"/>
        <v>0</v>
      </c>
      <c r="Y15" s="209"/>
      <c r="Z15" s="210"/>
      <c r="AA15" s="210"/>
      <c r="AB15" s="128">
        <f>IF(AND(D15="Jour férié semaine",((G15-F15)+(I15-H15)+(K15-J15)=0)),VLOOKUP(D15,Systeemgegevens!$J:$K,2,FALSE),0)</f>
        <v>0</v>
      </c>
      <c r="AC15" s="43">
        <f>IF(AND(NOT(ISERROR(FIND("Congé",D15))),ISERROR(FIND("1/2",D15)),ISERROR(FIND("Synd",D15)),ISERROR(FIND("synd",D15)),(G15-F15+I15-H15+K15-J15)=0),VLOOKUP(D15,Systeemgegevens!$J:$K,2,FALSE),IF(AND(NOT(ISERROR(FIND("1/2 Congé + ",D15))),(G15-F15+I15-H15+K15-J15)=0),VLOOKUP(D15,Systeemgegevens!$J:$K,2,FALSE)/2,IF(AND(NOT(ISERROR(FIND("1/2 Congé",D15))),ISERROR(FIND(" + ",D15)),ISERROR(FIND("1/2 Congé Synd.",D15))),VLOOKUP(D15,Systeemgegevens!$J:$K,2,FALSE),0)))</f>
        <v>0</v>
      </c>
      <c r="AD15" s="43">
        <f>IF(AND(OR(D15="1/2 Congé Synd.",D15="Congé Synd."),((G15-F15)+(I15-H15)+(K15-J15)=0)),VLOOKUP(D15,Systeemgegevens!$J:$K,2,FALSE),IF(AND(D15="1/2 Congé + 1/2 synd.",((G15-F15)+(I15-H15)+(K15-J15)=0)),AC15,0))</f>
        <v>0</v>
      </c>
      <c r="AE15" s="43">
        <f>IF(AND(D15="Jour de pont",((G15-F15)+(I15-H15)+(K15-J15)=0)),VLOOKUP(D15,Systeemgegevens!$J:$K,2,FALSE),0)</f>
        <v>0</v>
      </c>
      <c r="AF15" s="43">
        <f>IF(AND(D15="Jour libre 4/5",AND((G15-F15)+(I15-H15)+(K15-J15)=0)),VLOOKUP(D15,Systeemgegevens!$J:$K,2,FALSE),0)</f>
        <v>0</v>
      </c>
      <c r="AG15" s="118">
        <f>IF(AND(D15&lt;&gt;"",SUM(AB15:AF15)=0,D15&lt;&gt;$AB$4,D15&lt;&gt;$AC$4,D15&lt;&gt;$AE$4,D15&lt;&gt;$AF$4),VLOOKUP(D15,Systeemgegevens!$J:$K,2,FALSE),0)</f>
        <v>0</v>
      </c>
      <c r="AH15" s="119">
        <f t="shared" si="6"/>
        <v>0</v>
      </c>
      <c r="AI15" s="101">
        <f t="shared" si="7"/>
        <v>0</v>
      </c>
      <c r="AJ15" s="118">
        <f t="shared" si="19"/>
        <v>0</v>
      </c>
      <c r="AK15" s="119">
        <f t="shared" si="8"/>
        <v>0</v>
      </c>
      <c r="AL15" s="101">
        <f t="shared" si="9"/>
        <v>0</v>
      </c>
      <c r="AM15" s="43">
        <f t="shared" si="20"/>
        <v>0</v>
      </c>
      <c r="AN15" s="118">
        <f t="shared" si="21"/>
        <v>0</v>
      </c>
      <c r="AO15" s="122">
        <f t="shared" si="10"/>
        <v>0</v>
      </c>
      <c r="AP15" s="107">
        <f t="shared" si="11"/>
        <v>0</v>
      </c>
      <c r="AQ15" s="107">
        <f t="shared" si="12"/>
        <v>0</v>
      </c>
      <c r="AR15" s="123">
        <f t="shared" si="13"/>
        <v>0</v>
      </c>
      <c r="AS15" s="124">
        <f t="shared" si="14"/>
        <v>0</v>
      </c>
      <c r="AT15" s="124">
        <f t="shared" si="15"/>
        <v>0</v>
      </c>
      <c r="AU15" s="124">
        <f t="shared" si="16"/>
        <v>0</v>
      </c>
      <c r="AV15" s="117" t="s">
        <v>30</v>
      </c>
      <c r="AW15" s="129">
        <f>IF(($R$41=AV15)*AND($R$42&lt;&gt;""),VLOOKUP($R$42,'Barèmes police'!$W$4:$X$30,2),0)</f>
        <v>0</v>
      </c>
      <c r="AX15" s="16" t="str">
        <f>IF('Types de jours'!F21&lt;&gt;"",'Types de jours'!F21,"")</f>
        <v>1/2 Congé + 1/2 synd.</v>
      </c>
      <c r="AY15" s="144">
        <f>IF(AX15&lt;&gt;"",'Types de jours'!I21,"")</f>
        <v>0.31666666666666665</v>
      </c>
      <c r="AZ15" s="269"/>
      <c r="BA15" s="154"/>
      <c r="BB15" s="154"/>
      <c r="BC15" s="154"/>
      <c r="BD15" s="154"/>
      <c r="BE15" s="154"/>
      <c r="BF15" s="154"/>
    </row>
    <row r="16" spans="1:58" ht="12.75" customHeight="1" x14ac:dyDescent="0.2">
      <c r="A16" s="34"/>
      <c r="B16" s="24" t="str">
        <f t="shared" si="0"/>
        <v>Je</v>
      </c>
      <c r="C16" s="25">
        <f t="shared" si="22"/>
        <v>45421</v>
      </c>
      <c r="D16" s="51" t="s">
        <v>259</v>
      </c>
      <c r="E16" s="116"/>
      <c r="F16" s="52"/>
      <c r="G16" s="53"/>
      <c r="H16" s="52"/>
      <c r="I16" s="53"/>
      <c r="J16" s="54"/>
      <c r="K16" s="55"/>
      <c r="L16" s="40">
        <f t="shared" si="1"/>
        <v>0.31666666666666665</v>
      </c>
      <c r="M16" s="41">
        <f t="shared" si="23"/>
        <v>0.6333333333333333</v>
      </c>
      <c r="N16" s="42">
        <f>IF(AND(D16&lt;&gt;"Jour libre 4/5",B16&lt;&gt;"Sa",B16&lt;&gt;"Di"),SUM(N15,Configuration!$H$41),SUM(N15))</f>
        <v>2.2166666666666668</v>
      </c>
      <c r="O16" s="49" t="str">
        <f t="shared" si="24"/>
        <v>-</v>
      </c>
      <c r="P16" s="143">
        <f t="shared" si="17"/>
        <v>1.5833333333333335</v>
      </c>
      <c r="Q16" s="167">
        <f t="shared" si="18"/>
        <v>0</v>
      </c>
      <c r="R16" s="168">
        <f t="shared" si="18"/>
        <v>0</v>
      </c>
      <c r="S16" s="168">
        <f t="shared" si="18"/>
        <v>0</v>
      </c>
      <c r="T16" s="169">
        <f t="shared" si="18"/>
        <v>0</v>
      </c>
      <c r="U16" s="97">
        <f t="shared" si="2"/>
        <v>0</v>
      </c>
      <c r="V16" s="97">
        <f t="shared" si="3"/>
        <v>0</v>
      </c>
      <c r="W16" s="97">
        <f t="shared" si="4"/>
        <v>0</v>
      </c>
      <c r="X16" s="97">
        <f t="shared" si="5"/>
        <v>0</v>
      </c>
      <c r="Y16" s="209"/>
      <c r="Z16" s="210"/>
      <c r="AA16" s="210"/>
      <c r="AB16" s="128">
        <f>IF(AND(D16="Jour férié semaine",((G16-F16)+(I16-H16)+(K16-J16)=0)),VLOOKUP(D16,Systeemgegevens!$J:$K,2,FALSE),0)</f>
        <v>0.31666666666666665</v>
      </c>
      <c r="AC16" s="43">
        <f>IF(AND(NOT(ISERROR(FIND("Congé",D16))),ISERROR(FIND("1/2",D16)),ISERROR(FIND("Synd",D16)),ISERROR(FIND("synd",D16)),(G16-F16+I16-H16+K16-J16)=0),VLOOKUP(D16,Systeemgegevens!$J:$K,2,FALSE),IF(AND(NOT(ISERROR(FIND("1/2 Congé + ",D16))),(G16-F16+I16-H16+K16-J16)=0),VLOOKUP(D16,Systeemgegevens!$J:$K,2,FALSE)/2,IF(AND(NOT(ISERROR(FIND("1/2 Congé",D16))),ISERROR(FIND(" + ",D16)),ISERROR(FIND("1/2 Congé Synd.",D16))),VLOOKUP(D16,Systeemgegevens!$J:$K,2,FALSE),0)))</f>
        <v>0</v>
      </c>
      <c r="AD16" s="43">
        <f>IF(AND(OR(D16="1/2 Congé Synd.",D16="Congé Synd."),((G16-F16)+(I16-H16)+(K16-J16)=0)),VLOOKUP(D16,Systeemgegevens!$J:$K,2,FALSE),IF(AND(D16="1/2 Congé + 1/2 synd.",((G16-F16)+(I16-H16)+(K16-J16)=0)),AC16,0))</f>
        <v>0</v>
      </c>
      <c r="AE16" s="43">
        <f>IF(AND(D16="Jour de pont",((G16-F16)+(I16-H16)+(K16-J16)=0)),VLOOKUP(D16,Systeemgegevens!$J:$K,2,FALSE),0)</f>
        <v>0</v>
      </c>
      <c r="AF16" s="43">
        <f>IF(AND(D16="Jour libre 4/5",AND((G16-F16)+(I16-H16)+(K16-J16)=0)),VLOOKUP(D16,Systeemgegevens!$J:$K,2,FALSE),0)</f>
        <v>0</v>
      </c>
      <c r="AG16" s="118">
        <f>IF(AND(D16&lt;&gt;"",SUM(AB16:AF16)=0,D16&lt;&gt;$AB$4,D16&lt;&gt;$AC$4,D16&lt;&gt;$AE$4,D16&lt;&gt;$AF$4),VLOOKUP(D16,Systeemgegevens!$J:$K,2,FALSE),0)</f>
        <v>0</v>
      </c>
      <c r="AH16" s="119">
        <f t="shared" si="6"/>
        <v>0</v>
      </c>
      <c r="AI16" s="101">
        <f t="shared" si="7"/>
        <v>0</v>
      </c>
      <c r="AJ16" s="118">
        <f t="shared" si="19"/>
        <v>0</v>
      </c>
      <c r="AK16" s="119">
        <f t="shared" si="8"/>
        <v>0</v>
      </c>
      <c r="AL16" s="101">
        <f t="shared" si="9"/>
        <v>0</v>
      </c>
      <c r="AM16" s="43">
        <f t="shared" si="20"/>
        <v>0</v>
      </c>
      <c r="AN16" s="118">
        <f t="shared" si="21"/>
        <v>0</v>
      </c>
      <c r="AO16" s="122">
        <f t="shared" si="10"/>
        <v>0</v>
      </c>
      <c r="AP16" s="107">
        <f t="shared" si="11"/>
        <v>0</v>
      </c>
      <c r="AQ16" s="107">
        <f t="shared" si="12"/>
        <v>0</v>
      </c>
      <c r="AR16" s="123">
        <f t="shared" si="13"/>
        <v>0</v>
      </c>
      <c r="AS16" s="124">
        <f t="shared" si="14"/>
        <v>0</v>
      </c>
      <c r="AT16" s="124">
        <f t="shared" si="15"/>
        <v>0</v>
      </c>
      <c r="AU16" s="124">
        <f t="shared" si="16"/>
        <v>0</v>
      </c>
      <c r="AV16" s="117" t="s">
        <v>29</v>
      </c>
      <c r="AW16" s="129">
        <f>IF(($R$41=AV16)*AND($R$42&lt;&gt;""),VLOOKUP($R$42,'Barèmes police'!$Z$4:$AA$30,2),0)</f>
        <v>0</v>
      </c>
      <c r="AX16" s="16" t="str">
        <f>IF('Types de jours'!F22&lt;&gt;"",'Types de jours'!F22,"")</f>
        <v>Jour férié semaine</v>
      </c>
      <c r="AY16" s="144">
        <f>IF(AX16&lt;&gt;"",'Types de jours'!I22,"")</f>
        <v>0.31666666666666665</v>
      </c>
      <c r="AZ16" s="269"/>
      <c r="BA16" s="154"/>
      <c r="BB16" s="154"/>
      <c r="BC16" s="154"/>
      <c r="BD16" s="154"/>
      <c r="BE16" s="154"/>
      <c r="BF16" s="154"/>
    </row>
    <row r="17" spans="1:58" ht="12.75" customHeight="1" x14ac:dyDescent="0.2">
      <c r="A17" s="34"/>
      <c r="B17" s="24" t="str">
        <f t="shared" si="0"/>
        <v>Ve</v>
      </c>
      <c r="C17" s="25">
        <f t="shared" si="22"/>
        <v>45422</v>
      </c>
      <c r="D17" s="51" t="s">
        <v>166</v>
      </c>
      <c r="E17" s="116"/>
      <c r="F17" s="52"/>
      <c r="G17" s="53"/>
      <c r="H17" s="52"/>
      <c r="I17" s="53"/>
      <c r="J17" s="54"/>
      <c r="K17" s="55"/>
      <c r="L17" s="40">
        <f t="shared" si="1"/>
        <v>0.31666666666666665</v>
      </c>
      <c r="M17" s="41">
        <f t="shared" si="23"/>
        <v>0.95</v>
      </c>
      <c r="N17" s="42">
        <f>IF(AND(D17&lt;&gt;"Jour libre 4/5",B17&lt;&gt;"Sa",B17&lt;&gt;"Di"),SUM(N16,Configuration!$H$41),SUM(N16))</f>
        <v>2.5333333333333332</v>
      </c>
      <c r="O17" s="49" t="str">
        <f t="shared" si="24"/>
        <v>-</v>
      </c>
      <c r="P17" s="143">
        <f t="shared" si="17"/>
        <v>1.5833333333333333</v>
      </c>
      <c r="Q17" s="167">
        <f t="shared" si="18"/>
        <v>0</v>
      </c>
      <c r="R17" s="168">
        <f t="shared" si="18"/>
        <v>0</v>
      </c>
      <c r="S17" s="168">
        <f t="shared" si="18"/>
        <v>0</v>
      </c>
      <c r="T17" s="169">
        <f t="shared" si="18"/>
        <v>0</v>
      </c>
      <c r="U17" s="97">
        <f t="shared" si="2"/>
        <v>0</v>
      </c>
      <c r="V17" s="97">
        <f t="shared" si="3"/>
        <v>0</v>
      </c>
      <c r="W17" s="97">
        <f t="shared" si="4"/>
        <v>0</v>
      </c>
      <c r="X17" s="97">
        <f t="shared" si="5"/>
        <v>0</v>
      </c>
      <c r="Y17" s="209"/>
      <c r="Z17" s="210"/>
      <c r="AA17" s="210"/>
      <c r="AB17" s="128">
        <f>IF(AND(D17="Jour férié semaine",((G17-F17)+(I17-H17)+(K17-J17)=0)),VLOOKUP(D17,Systeemgegevens!$J:$K,2,FALSE),0)</f>
        <v>0</v>
      </c>
      <c r="AC17" s="43">
        <f>IF(AND(NOT(ISERROR(FIND("Congé",D17))),ISERROR(FIND("1/2",D17)),ISERROR(FIND("Synd",D17)),ISERROR(FIND("synd",D17)),(G17-F17+I17-H17+K17-J17)=0),VLOOKUP(D17,Systeemgegevens!$J:$K,2,FALSE),IF(AND(NOT(ISERROR(FIND("1/2 Congé + ",D17))),(G17-F17+I17-H17+K17-J17)=0),VLOOKUP(D17,Systeemgegevens!$J:$K,2,FALSE)/2,IF(AND(NOT(ISERROR(FIND("1/2 Congé",D17))),ISERROR(FIND(" + ",D17)),ISERROR(FIND("1/2 Congé Synd.",D17))),VLOOKUP(D17,Systeemgegevens!$J:$K,2,FALSE),0)))</f>
        <v>0</v>
      </c>
      <c r="AD17" s="43">
        <f>IF(AND(OR(D17="1/2 Congé Synd.",D17="Congé Synd."),((G17-F17)+(I17-H17)+(K17-J17)=0)),VLOOKUP(D17,Systeemgegevens!$J:$K,2,FALSE),IF(AND(D17="1/2 Congé + 1/2 synd.",((G17-F17)+(I17-H17)+(K17-J17)=0)),AC17,0))</f>
        <v>0</v>
      </c>
      <c r="AE17" s="43">
        <f>IF(AND(D17="Jour de pont",((G17-F17)+(I17-H17)+(K17-J17)=0)),VLOOKUP(D17,Systeemgegevens!$J:$K,2,FALSE),0)</f>
        <v>0.31666666666666665</v>
      </c>
      <c r="AF17" s="43">
        <f>IF(AND(D17="Jour libre 4/5",AND((G17-F17)+(I17-H17)+(K17-J17)=0)),VLOOKUP(D17,Systeemgegevens!$J:$K,2,FALSE),0)</f>
        <v>0</v>
      </c>
      <c r="AG17" s="118">
        <f>IF(AND(D17&lt;&gt;"",SUM(AB17:AF17)=0,D17&lt;&gt;$AB$4,D17&lt;&gt;$AC$4,D17&lt;&gt;$AE$4,D17&lt;&gt;$AF$4),VLOOKUP(D17,Systeemgegevens!$J:$K,2,FALSE),0)</f>
        <v>0</v>
      </c>
      <c r="AH17" s="119">
        <f t="shared" si="6"/>
        <v>0</v>
      </c>
      <c r="AI17" s="101">
        <f t="shared" si="7"/>
        <v>0</v>
      </c>
      <c r="AJ17" s="118">
        <f t="shared" si="19"/>
        <v>0</v>
      </c>
      <c r="AK17" s="119">
        <f t="shared" si="8"/>
        <v>0</v>
      </c>
      <c r="AL17" s="101">
        <f t="shared" si="9"/>
        <v>0</v>
      </c>
      <c r="AM17" s="43">
        <f t="shared" si="20"/>
        <v>0</v>
      </c>
      <c r="AN17" s="118">
        <f t="shared" si="21"/>
        <v>0</v>
      </c>
      <c r="AO17" s="122">
        <f t="shared" si="10"/>
        <v>0</v>
      </c>
      <c r="AP17" s="107">
        <f t="shared" si="11"/>
        <v>0</v>
      </c>
      <c r="AQ17" s="107">
        <f t="shared" si="12"/>
        <v>0</v>
      </c>
      <c r="AR17" s="123">
        <f t="shared" si="13"/>
        <v>0</v>
      </c>
      <c r="AS17" s="124">
        <f t="shared" si="14"/>
        <v>0</v>
      </c>
      <c r="AT17" s="124">
        <f t="shared" si="15"/>
        <v>0</v>
      </c>
      <c r="AU17" s="124">
        <f t="shared" si="16"/>
        <v>0</v>
      </c>
      <c r="AV17" s="117" t="s">
        <v>28</v>
      </c>
      <c r="AW17" s="129">
        <f>IF(($R$41=AV17)*AND($R$42&lt;&gt;""),VLOOKUP($R$42,'Barèmes police'!$AC$4:$AD$30,2),0)</f>
        <v>0</v>
      </c>
      <c r="AX17" s="16" t="str">
        <f>IF('Types de jours'!F23&lt;&gt;"",'Types de jours'!F23,"")</f>
        <v>Jour libre 4/5</v>
      </c>
      <c r="AY17" s="144">
        <f>IF(AX17&lt;&gt;"",'Types de jours'!I23,"")</f>
        <v>0</v>
      </c>
      <c r="AZ17" s="269"/>
      <c r="BA17" s="154"/>
      <c r="BB17" s="154"/>
      <c r="BC17" s="154"/>
      <c r="BD17" s="154"/>
      <c r="BE17" s="154"/>
      <c r="BF17" s="154"/>
    </row>
    <row r="18" spans="1:58" ht="12.75" customHeight="1" x14ac:dyDescent="0.2">
      <c r="A18" s="34"/>
      <c r="B18" s="24" t="str">
        <f t="shared" si="0"/>
        <v>Sa</v>
      </c>
      <c r="C18" s="25">
        <f t="shared" si="22"/>
        <v>45423</v>
      </c>
      <c r="D18" s="51"/>
      <c r="E18" s="116"/>
      <c r="F18" s="52"/>
      <c r="G18" s="53"/>
      <c r="H18" s="52"/>
      <c r="I18" s="53"/>
      <c r="J18" s="54"/>
      <c r="K18" s="55"/>
      <c r="L18" s="40">
        <f t="shared" si="1"/>
        <v>0</v>
      </c>
      <c r="M18" s="41">
        <f t="shared" si="23"/>
        <v>0.95</v>
      </c>
      <c r="N18" s="42">
        <f>IF(AND(D18&lt;&gt;"Jour libre 4/5",B18&lt;&gt;"Sa",B18&lt;&gt;"Di"),SUM(N17,Configuration!$H$41),SUM(N17))</f>
        <v>2.5333333333333332</v>
      </c>
      <c r="O18" s="49" t="str">
        <f t="shared" si="24"/>
        <v>-</v>
      </c>
      <c r="P18" s="143">
        <f t="shared" si="17"/>
        <v>1.5833333333333333</v>
      </c>
      <c r="Q18" s="167">
        <f t="shared" si="18"/>
        <v>0</v>
      </c>
      <c r="R18" s="168">
        <f t="shared" si="18"/>
        <v>0</v>
      </c>
      <c r="S18" s="168">
        <f t="shared" si="18"/>
        <v>0</v>
      </c>
      <c r="T18" s="169">
        <f t="shared" si="18"/>
        <v>0</v>
      </c>
      <c r="U18" s="97">
        <f t="shared" si="2"/>
        <v>0</v>
      </c>
      <c r="V18" s="97">
        <f t="shared" si="3"/>
        <v>0</v>
      </c>
      <c r="W18" s="97">
        <f t="shared" si="4"/>
        <v>0</v>
      </c>
      <c r="X18" s="97">
        <f t="shared" si="5"/>
        <v>0</v>
      </c>
      <c r="Y18" s="209"/>
      <c r="Z18" s="210"/>
      <c r="AA18" s="210"/>
      <c r="AB18" s="128">
        <f>IF(AND(D18="Jour férié semaine",((G18-F18)+(I18-H18)+(K18-J18)=0)),VLOOKUP(D18,Systeemgegevens!$J:$K,2,FALSE),0)</f>
        <v>0</v>
      </c>
      <c r="AC18" s="43">
        <f>IF(AND(NOT(ISERROR(FIND("Congé",D18))),ISERROR(FIND("1/2",D18)),ISERROR(FIND("Synd",D18)),ISERROR(FIND("synd",D18)),(G18-F18+I18-H18+K18-J18)=0),VLOOKUP(D18,Systeemgegevens!$J:$K,2,FALSE),IF(AND(NOT(ISERROR(FIND("1/2 Congé + ",D18))),(G18-F18+I18-H18+K18-J18)=0),VLOOKUP(D18,Systeemgegevens!$J:$K,2,FALSE)/2,IF(AND(NOT(ISERROR(FIND("1/2 Congé",D18))),ISERROR(FIND(" + ",D18)),ISERROR(FIND("1/2 Congé Synd.",D18))),VLOOKUP(D18,Systeemgegevens!$J:$K,2,FALSE),0)))</f>
        <v>0</v>
      </c>
      <c r="AD18" s="43">
        <f>IF(AND(OR(D18="1/2 Congé Synd.",D18="Congé Synd."),((G18-F18)+(I18-H18)+(K18-J18)=0)),VLOOKUP(D18,Systeemgegevens!$J:$K,2,FALSE),IF(AND(D18="1/2 Congé + 1/2 synd.",((G18-F18)+(I18-H18)+(K18-J18)=0)),AC18,0))</f>
        <v>0</v>
      </c>
      <c r="AE18" s="43">
        <f>IF(AND(D18="Jour de pont",((G18-F18)+(I18-H18)+(K18-J18)=0)),VLOOKUP(D18,Systeemgegevens!$J:$K,2,FALSE),0)</f>
        <v>0</v>
      </c>
      <c r="AF18" s="43">
        <f>IF(AND(D18="Jour libre 4/5",AND((G18-F18)+(I18-H18)+(K18-J18)=0)),VLOOKUP(D18,Systeemgegevens!$J:$K,2,FALSE),0)</f>
        <v>0</v>
      </c>
      <c r="AG18" s="118">
        <f>IF(AND(D18&lt;&gt;"",SUM(AB18:AF18)=0,D18&lt;&gt;$AB$4,D18&lt;&gt;$AC$4,D18&lt;&gt;$AE$4,D18&lt;&gt;$AF$4),VLOOKUP(D18,Systeemgegevens!$J:$K,2,FALSE),0)</f>
        <v>0</v>
      </c>
      <c r="AH18" s="119">
        <f t="shared" si="6"/>
        <v>0</v>
      </c>
      <c r="AI18" s="101">
        <f t="shared" si="7"/>
        <v>0</v>
      </c>
      <c r="AJ18" s="118">
        <f t="shared" si="19"/>
        <v>0</v>
      </c>
      <c r="AK18" s="119">
        <f t="shared" si="8"/>
        <v>0</v>
      </c>
      <c r="AL18" s="101">
        <f t="shared" si="9"/>
        <v>0</v>
      </c>
      <c r="AM18" s="43">
        <f t="shared" si="20"/>
        <v>0</v>
      </c>
      <c r="AN18" s="118">
        <f t="shared" si="21"/>
        <v>0</v>
      </c>
      <c r="AO18" s="122">
        <f t="shared" si="10"/>
        <v>0</v>
      </c>
      <c r="AP18" s="107">
        <f t="shared" si="11"/>
        <v>0</v>
      </c>
      <c r="AQ18" s="107">
        <f t="shared" si="12"/>
        <v>0</v>
      </c>
      <c r="AR18" s="123">
        <f t="shared" si="13"/>
        <v>0</v>
      </c>
      <c r="AS18" s="124">
        <f t="shared" si="14"/>
        <v>0</v>
      </c>
      <c r="AT18" s="124">
        <f t="shared" si="15"/>
        <v>0</v>
      </c>
      <c r="AU18" s="124">
        <f t="shared" si="16"/>
        <v>0</v>
      </c>
      <c r="AV18" s="117" t="s">
        <v>27</v>
      </c>
      <c r="AW18" s="129">
        <f>IF(($R$41=AV18)*AND($R$42&lt;&gt;""),VLOOKUP($R$42,'Barèmes police'!$AF$4:$AG$30,2),0)</f>
        <v>0</v>
      </c>
      <c r="AX18" s="16" t="str">
        <f>IF('Types de jours'!F24&lt;&gt;"",'Types de jours'!F24,"")</f>
        <v>Jour de pont</v>
      </c>
      <c r="AY18" s="144">
        <f>IF(AX18&lt;&gt;"",'Types de jours'!I24,"")</f>
        <v>0.31666666666666665</v>
      </c>
      <c r="AZ18" s="269"/>
      <c r="BA18" s="154"/>
      <c r="BB18" s="154"/>
      <c r="BC18" s="154"/>
      <c r="BD18" s="154"/>
      <c r="BE18" s="154"/>
      <c r="BF18" s="154"/>
    </row>
    <row r="19" spans="1:58" ht="12.75" customHeight="1" x14ac:dyDescent="0.2">
      <c r="A19" s="34"/>
      <c r="B19" s="24" t="str">
        <f t="shared" si="0"/>
        <v>Di</v>
      </c>
      <c r="C19" s="25">
        <f t="shared" si="22"/>
        <v>45424</v>
      </c>
      <c r="D19" s="51"/>
      <c r="E19" s="116"/>
      <c r="F19" s="52"/>
      <c r="G19" s="53"/>
      <c r="H19" s="52"/>
      <c r="I19" s="53"/>
      <c r="J19" s="54"/>
      <c r="K19" s="55"/>
      <c r="L19" s="40">
        <f t="shared" si="1"/>
        <v>0</v>
      </c>
      <c r="M19" s="41">
        <f t="shared" si="23"/>
        <v>0.95</v>
      </c>
      <c r="N19" s="42">
        <f>IF(AND(D19&lt;&gt;"Jour libre 4/5",B19&lt;&gt;"Sa",B19&lt;&gt;"Di"),SUM(N18,Configuration!$H$41),SUM(N18))</f>
        <v>2.5333333333333332</v>
      </c>
      <c r="O19" s="49" t="str">
        <f t="shared" si="24"/>
        <v>-</v>
      </c>
      <c r="P19" s="143">
        <f t="shared" si="17"/>
        <v>1.5833333333333333</v>
      </c>
      <c r="Q19" s="167">
        <f t="shared" si="18"/>
        <v>0</v>
      </c>
      <c r="R19" s="168">
        <f t="shared" si="18"/>
        <v>0</v>
      </c>
      <c r="S19" s="168">
        <f t="shared" si="18"/>
        <v>0</v>
      </c>
      <c r="T19" s="169">
        <f t="shared" si="18"/>
        <v>0</v>
      </c>
      <c r="U19" s="97">
        <f t="shared" si="2"/>
        <v>0</v>
      </c>
      <c r="V19" s="97">
        <f t="shared" si="3"/>
        <v>0</v>
      </c>
      <c r="W19" s="97">
        <f t="shared" si="4"/>
        <v>0</v>
      </c>
      <c r="X19" s="97">
        <f t="shared" si="5"/>
        <v>0</v>
      </c>
      <c r="Y19" s="209"/>
      <c r="Z19" s="210"/>
      <c r="AA19" s="210"/>
      <c r="AB19" s="128">
        <f>IF(AND(D19="Jour férié semaine",((G19-F19)+(I19-H19)+(K19-J19)=0)),VLOOKUP(D19,Systeemgegevens!$J:$K,2,FALSE),0)</f>
        <v>0</v>
      </c>
      <c r="AC19" s="43">
        <f>IF(AND(NOT(ISERROR(FIND("Congé",D19))),ISERROR(FIND("1/2",D19)),ISERROR(FIND("Synd",D19)),ISERROR(FIND("synd",D19)),(G19-F19+I19-H19+K19-J19)=0),VLOOKUP(D19,Systeemgegevens!$J:$K,2,FALSE),IF(AND(NOT(ISERROR(FIND("1/2 Congé + ",D19))),(G19-F19+I19-H19+K19-J19)=0),VLOOKUP(D19,Systeemgegevens!$J:$K,2,FALSE)/2,IF(AND(NOT(ISERROR(FIND("1/2 Congé",D19))),ISERROR(FIND(" + ",D19)),ISERROR(FIND("1/2 Congé Synd.",D19))),VLOOKUP(D19,Systeemgegevens!$J:$K,2,FALSE),0)))</f>
        <v>0</v>
      </c>
      <c r="AD19" s="43">
        <f>IF(AND(OR(D19="1/2 Congé Synd.",D19="Congé Synd."),((G19-F19)+(I19-H19)+(K19-J19)=0)),VLOOKUP(D19,Systeemgegevens!$J:$K,2,FALSE),IF(AND(D19="1/2 Congé + 1/2 synd.",((G19-F19)+(I19-H19)+(K19-J19)=0)),AC19,0))</f>
        <v>0</v>
      </c>
      <c r="AE19" s="43">
        <f>IF(AND(D19="Jour de pont",((G19-F19)+(I19-H19)+(K19-J19)=0)),VLOOKUP(D19,Systeemgegevens!$J:$K,2,FALSE),0)</f>
        <v>0</v>
      </c>
      <c r="AF19" s="43">
        <f>IF(AND(D19="Jour libre 4/5",AND((G19-F19)+(I19-H19)+(K19-J19)=0)),VLOOKUP(D19,Systeemgegevens!$J:$K,2,FALSE),0)</f>
        <v>0</v>
      </c>
      <c r="AG19" s="118">
        <f>IF(AND(D19&lt;&gt;"",SUM(AB19:AF19)=0,D19&lt;&gt;$AB$4,D19&lt;&gt;$AC$4,D19&lt;&gt;$AE$4,D19&lt;&gt;$AF$4),VLOOKUP(D19,Systeemgegevens!$J:$K,2,FALSE),0)</f>
        <v>0</v>
      </c>
      <c r="AH19" s="119">
        <f t="shared" si="6"/>
        <v>0</v>
      </c>
      <c r="AI19" s="101">
        <f t="shared" si="7"/>
        <v>0</v>
      </c>
      <c r="AJ19" s="118">
        <f t="shared" si="19"/>
        <v>0</v>
      </c>
      <c r="AK19" s="119">
        <f t="shared" si="8"/>
        <v>0</v>
      </c>
      <c r="AL19" s="101">
        <f t="shared" si="9"/>
        <v>0</v>
      </c>
      <c r="AM19" s="43">
        <f t="shared" si="20"/>
        <v>0</v>
      </c>
      <c r="AN19" s="118">
        <f t="shared" si="21"/>
        <v>0</v>
      </c>
      <c r="AO19" s="122">
        <f t="shared" si="10"/>
        <v>0</v>
      </c>
      <c r="AP19" s="107">
        <f t="shared" si="11"/>
        <v>0</v>
      </c>
      <c r="AQ19" s="107">
        <f t="shared" si="12"/>
        <v>0</v>
      </c>
      <c r="AR19" s="123">
        <f t="shared" si="13"/>
        <v>0</v>
      </c>
      <c r="AS19" s="124">
        <f t="shared" si="14"/>
        <v>0</v>
      </c>
      <c r="AT19" s="124">
        <f t="shared" si="15"/>
        <v>0</v>
      </c>
      <c r="AU19" s="124">
        <f t="shared" si="16"/>
        <v>0</v>
      </c>
      <c r="AV19" s="117" t="s">
        <v>26</v>
      </c>
      <c r="AW19" s="129">
        <f>IF(($R$41=AV19)*AND($R$42&lt;&gt;""),VLOOKUP($R$42,'Barèmes police'!$AI$4:$AJ$30,2),0)</f>
        <v>0</v>
      </c>
      <c r="AX19" s="16" t="str">
        <f>IF('Types de jours'!F25&lt;&gt;"",'Types de jours'!F25,"")</f>
        <v>Congé 12h</v>
      </c>
      <c r="AY19" s="144">
        <f>IF(AX19&lt;&gt;"",'Types de jours'!I25,"")</f>
        <v>0.5</v>
      </c>
      <c r="AZ19" s="269"/>
      <c r="BA19" s="154"/>
      <c r="BB19" s="154"/>
      <c r="BC19" s="154"/>
      <c r="BD19" s="154"/>
      <c r="BE19" s="154"/>
      <c r="BF19" s="154"/>
    </row>
    <row r="20" spans="1:58" ht="12.75" customHeight="1" x14ac:dyDescent="0.2">
      <c r="A20" s="34"/>
      <c r="B20" s="24" t="str">
        <f t="shared" si="0"/>
        <v>Lu</v>
      </c>
      <c r="C20" s="25">
        <f t="shared" si="22"/>
        <v>45425</v>
      </c>
      <c r="D20" s="51"/>
      <c r="E20" s="116"/>
      <c r="F20" s="52"/>
      <c r="G20" s="53"/>
      <c r="H20" s="52"/>
      <c r="I20" s="53"/>
      <c r="J20" s="54"/>
      <c r="K20" s="55"/>
      <c r="L20" s="40">
        <f t="shared" si="1"/>
        <v>0</v>
      </c>
      <c r="M20" s="41">
        <f t="shared" si="23"/>
        <v>0.95</v>
      </c>
      <c r="N20" s="42">
        <f>IF(AND(D20&lt;&gt;"Jour libre 4/5",B20&lt;&gt;"Sa",B20&lt;&gt;"Di"),SUM(N19,Configuration!$H$41),SUM(N19))</f>
        <v>2.8499999999999996</v>
      </c>
      <c r="O20" s="49" t="str">
        <f t="shared" si="24"/>
        <v>-</v>
      </c>
      <c r="P20" s="143">
        <f t="shared" si="17"/>
        <v>1.8999999999999997</v>
      </c>
      <c r="Q20" s="167">
        <f t="shared" si="18"/>
        <v>0</v>
      </c>
      <c r="R20" s="168">
        <f t="shared" si="18"/>
        <v>0</v>
      </c>
      <c r="S20" s="168">
        <f t="shared" si="18"/>
        <v>0</v>
      </c>
      <c r="T20" s="169">
        <f t="shared" si="18"/>
        <v>0</v>
      </c>
      <c r="U20" s="97">
        <f t="shared" si="2"/>
        <v>0</v>
      </c>
      <c r="V20" s="97">
        <f t="shared" si="3"/>
        <v>0</v>
      </c>
      <c r="W20" s="97">
        <f t="shared" si="4"/>
        <v>0</v>
      </c>
      <c r="X20" s="97">
        <f t="shared" si="5"/>
        <v>0</v>
      </c>
      <c r="Y20" s="209"/>
      <c r="Z20" s="210"/>
      <c r="AA20" s="210"/>
      <c r="AB20" s="128">
        <f>IF(AND(D20="Jour férié semaine",((G20-F20)+(I20-H20)+(K20-J20)=0)),VLOOKUP(D20,Systeemgegevens!$J:$K,2,FALSE),0)</f>
        <v>0</v>
      </c>
      <c r="AC20" s="43">
        <f>IF(AND(NOT(ISERROR(FIND("Congé",D20))),ISERROR(FIND("1/2",D20)),ISERROR(FIND("Synd",D20)),ISERROR(FIND("synd",D20)),(G20-F20+I20-H20+K20-J20)=0),VLOOKUP(D20,Systeemgegevens!$J:$K,2,FALSE),IF(AND(NOT(ISERROR(FIND("1/2 Congé + ",D20))),(G20-F20+I20-H20+K20-J20)=0),VLOOKUP(D20,Systeemgegevens!$J:$K,2,FALSE)/2,IF(AND(NOT(ISERROR(FIND("1/2 Congé",D20))),ISERROR(FIND(" + ",D20)),ISERROR(FIND("1/2 Congé Synd.",D20))),VLOOKUP(D20,Systeemgegevens!$J:$K,2,FALSE),0)))</f>
        <v>0</v>
      </c>
      <c r="AD20" s="43">
        <f>IF(AND(OR(D20="1/2 Congé Synd.",D20="Congé Synd."),((G20-F20)+(I20-H20)+(K20-J20)=0)),VLOOKUP(D20,Systeemgegevens!$J:$K,2,FALSE),IF(AND(D20="1/2 Congé + 1/2 synd.",((G20-F20)+(I20-H20)+(K20-J20)=0)),AC20,0))</f>
        <v>0</v>
      </c>
      <c r="AE20" s="43">
        <f>IF(AND(D20="Jour de pont",((G20-F20)+(I20-H20)+(K20-J20)=0)),VLOOKUP(D20,Systeemgegevens!$J:$K,2,FALSE),0)</f>
        <v>0</v>
      </c>
      <c r="AF20" s="43">
        <f>IF(AND(D20="Jour libre 4/5",AND((G20-F20)+(I20-H20)+(K20-J20)=0)),VLOOKUP(D20,Systeemgegevens!$J:$K,2,FALSE),0)</f>
        <v>0</v>
      </c>
      <c r="AG20" s="118">
        <f>IF(AND(D20&lt;&gt;"",SUM(AB20:AF20)=0,D20&lt;&gt;$AB$4,D20&lt;&gt;$AC$4,D20&lt;&gt;$AE$4,D20&lt;&gt;$AF$4),VLOOKUP(D20,Systeemgegevens!$J:$K,2,FALSE),0)</f>
        <v>0</v>
      </c>
      <c r="AH20" s="119">
        <f t="shared" si="6"/>
        <v>0</v>
      </c>
      <c r="AI20" s="101">
        <f t="shared" si="7"/>
        <v>0</v>
      </c>
      <c r="AJ20" s="118">
        <f t="shared" si="19"/>
        <v>0</v>
      </c>
      <c r="AK20" s="119">
        <f t="shared" si="8"/>
        <v>0</v>
      </c>
      <c r="AL20" s="101">
        <f t="shared" si="9"/>
        <v>0</v>
      </c>
      <c r="AM20" s="43">
        <f t="shared" si="20"/>
        <v>0</v>
      </c>
      <c r="AN20" s="118">
        <f t="shared" si="21"/>
        <v>0</v>
      </c>
      <c r="AO20" s="122">
        <f t="shared" si="10"/>
        <v>0</v>
      </c>
      <c r="AP20" s="107">
        <f t="shared" si="11"/>
        <v>0</v>
      </c>
      <c r="AQ20" s="107">
        <f t="shared" si="12"/>
        <v>0</v>
      </c>
      <c r="AR20" s="123">
        <f t="shared" si="13"/>
        <v>0</v>
      </c>
      <c r="AS20" s="124">
        <f t="shared" si="14"/>
        <v>0</v>
      </c>
      <c r="AT20" s="124">
        <f t="shared" si="15"/>
        <v>0</v>
      </c>
      <c r="AU20" s="124">
        <f t="shared" si="16"/>
        <v>0</v>
      </c>
      <c r="AV20" s="117" t="s">
        <v>25</v>
      </c>
      <c r="AW20" s="129">
        <f>IF(($R$41=AV20)*AND($R$42&lt;&gt;""),VLOOKUP($R$42,'Barèmes police'!$AL$4:$AM$30,2),0)</f>
        <v>0</v>
      </c>
      <c r="AX20" s="16" t="str">
        <f>IF('Types de jours'!F26&lt;&gt;"",'Types de jours'!F26,"")</f>
        <v/>
      </c>
      <c r="AY20" s="144" t="str">
        <f>IF(AX20&lt;&gt;"",'Types de jours'!I26,"")</f>
        <v/>
      </c>
      <c r="AZ20" s="269"/>
      <c r="BA20" s="154"/>
      <c r="BB20" s="154"/>
      <c r="BC20" s="154"/>
      <c r="BD20" s="154"/>
      <c r="BE20" s="154"/>
      <c r="BF20" s="154"/>
    </row>
    <row r="21" spans="1:58" ht="12.75" customHeight="1" x14ac:dyDescent="0.2">
      <c r="A21" s="34"/>
      <c r="B21" s="24" t="str">
        <f t="shared" si="0"/>
        <v>Ma</v>
      </c>
      <c r="C21" s="25">
        <f t="shared" si="22"/>
        <v>45426</v>
      </c>
      <c r="D21" s="51"/>
      <c r="E21" s="116"/>
      <c r="F21" s="52"/>
      <c r="G21" s="53"/>
      <c r="H21" s="52"/>
      <c r="I21" s="53"/>
      <c r="J21" s="54"/>
      <c r="K21" s="55"/>
      <c r="L21" s="40">
        <f t="shared" si="1"/>
        <v>0</v>
      </c>
      <c r="M21" s="41">
        <f t="shared" si="23"/>
        <v>0.95</v>
      </c>
      <c r="N21" s="42">
        <f>IF(AND(D21&lt;&gt;"Jour libre 4/5",B21&lt;&gt;"Sa",B21&lt;&gt;"Di"),SUM(N20,Configuration!$H$41),SUM(N20))</f>
        <v>3.1666666666666661</v>
      </c>
      <c r="O21" s="49" t="str">
        <f t="shared" si="24"/>
        <v>-</v>
      </c>
      <c r="P21" s="143">
        <f t="shared" si="17"/>
        <v>2.2166666666666659</v>
      </c>
      <c r="Q21" s="167">
        <f t="shared" si="18"/>
        <v>0</v>
      </c>
      <c r="R21" s="168">
        <f t="shared" si="18"/>
        <v>0</v>
      </c>
      <c r="S21" s="168">
        <f t="shared" si="18"/>
        <v>0</v>
      </c>
      <c r="T21" s="169">
        <f t="shared" si="18"/>
        <v>0</v>
      </c>
      <c r="U21" s="97">
        <f t="shared" si="2"/>
        <v>0</v>
      </c>
      <c r="V21" s="97">
        <f t="shared" si="3"/>
        <v>0</v>
      </c>
      <c r="W21" s="97">
        <f t="shared" si="4"/>
        <v>0</v>
      </c>
      <c r="X21" s="97">
        <f t="shared" si="5"/>
        <v>0</v>
      </c>
      <c r="Y21" s="209"/>
      <c r="Z21" s="210"/>
      <c r="AA21" s="210"/>
      <c r="AB21" s="128">
        <f>IF(AND(D21="Jour férié semaine",((G21-F21)+(I21-H21)+(K21-J21)=0)),VLOOKUP(D21,Systeemgegevens!$J:$K,2,FALSE),0)</f>
        <v>0</v>
      </c>
      <c r="AC21" s="43">
        <f>IF(AND(NOT(ISERROR(FIND("Congé",D21))),ISERROR(FIND("1/2",D21)),ISERROR(FIND("Synd",D21)),ISERROR(FIND("synd",D21)),(G21-F21+I21-H21+K21-J21)=0),VLOOKUP(D21,Systeemgegevens!$J:$K,2,FALSE),IF(AND(NOT(ISERROR(FIND("1/2 Congé + ",D21))),(G21-F21+I21-H21+K21-J21)=0),VLOOKUP(D21,Systeemgegevens!$J:$K,2,FALSE)/2,IF(AND(NOT(ISERROR(FIND("1/2 Congé",D21))),ISERROR(FIND(" + ",D21)),ISERROR(FIND("1/2 Congé Synd.",D21))),VLOOKUP(D21,Systeemgegevens!$J:$K,2,FALSE),0)))</f>
        <v>0</v>
      </c>
      <c r="AD21" s="43">
        <f>IF(AND(OR(D21="1/2 Congé Synd.",D21="Congé Synd."),((G21-F21)+(I21-H21)+(K21-J21)=0)),VLOOKUP(D21,Systeemgegevens!$J:$K,2,FALSE),IF(AND(D21="1/2 Congé + 1/2 synd.",((G21-F21)+(I21-H21)+(K21-J21)=0)),AC21,0))</f>
        <v>0</v>
      </c>
      <c r="AE21" s="43">
        <f>IF(AND(D21="Jour de pont",((G21-F21)+(I21-H21)+(K21-J21)=0)),VLOOKUP(D21,Systeemgegevens!$J:$K,2,FALSE),0)</f>
        <v>0</v>
      </c>
      <c r="AF21" s="43">
        <f>IF(AND(D21="Jour libre 4/5",AND((G21-F21)+(I21-H21)+(K21-J21)=0)),VLOOKUP(D21,Systeemgegevens!$J:$K,2,FALSE),0)</f>
        <v>0</v>
      </c>
      <c r="AG21" s="118">
        <f>IF(AND(D21&lt;&gt;"",SUM(AB21:AF21)=0,D21&lt;&gt;$AB$4,D21&lt;&gt;$AC$4,D21&lt;&gt;$AE$4,D21&lt;&gt;$AF$4),VLOOKUP(D21,Systeemgegevens!$J:$K,2,FALSE),0)</f>
        <v>0</v>
      </c>
      <c r="AH21" s="119">
        <f t="shared" si="6"/>
        <v>0</v>
      </c>
      <c r="AI21" s="101">
        <f t="shared" si="7"/>
        <v>0</v>
      </c>
      <c r="AJ21" s="118">
        <f t="shared" si="19"/>
        <v>0</v>
      </c>
      <c r="AK21" s="119">
        <f t="shared" si="8"/>
        <v>0</v>
      </c>
      <c r="AL21" s="101">
        <f t="shared" si="9"/>
        <v>0</v>
      </c>
      <c r="AM21" s="43">
        <f t="shared" si="20"/>
        <v>0</v>
      </c>
      <c r="AN21" s="118">
        <f t="shared" si="21"/>
        <v>0</v>
      </c>
      <c r="AO21" s="122">
        <f t="shared" si="10"/>
        <v>0</v>
      </c>
      <c r="AP21" s="107">
        <f t="shared" si="11"/>
        <v>0</v>
      </c>
      <c r="AQ21" s="107">
        <f t="shared" si="12"/>
        <v>0</v>
      </c>
      <c r="AR21" s="123">
        <f t="shared" si="13"/>
        <v>0</v>
      </c>
      <c r="AS21" s="124">
        <f t="shared" si="14"/>
        <v>0</v>
      </c>
      <c r="AT21" s="124">
        <f t="shared" si="15"/>
        <v>0</v>
      </c>
      <c r="AU21" s="124">
        <f t="shared" si="16"/>
        <v>0</v>
      </c>
      <c r="AV21" s="117" t="s">
        <v>24</v>
      </c>
      <c r="AW21" s="129">
        <f>IF(($R$41=AV21)*AND($R$42&lt;&gt;""),VLOOKUP($R$42,'Barèmes police'!$AO$4:$AP$30,2),0)</f>
        <v>0</v>
      </c>
      <c r="AX21" s="16" t="str">
        <f>IF('Types de jours'!F27&lt;&gt;"",'Types de jours'!F27,"")</f>
        <v/>
      </c>
      <c r="AY21" s="144" t="str">
        <f>IF(AX21&lt;&gt;"",'Types de jours'!I27,"")</f>
        <v/>
      </c>
      <c r="AZ21" s="269"/>
      <c r="BA21" s="154"/>
      <c r="BB21" s="154"/>
      <c r="BC21" s="154"/>
      <c r="BD21" s="154"/>
      <c r="BE21" s="154"/>
      <c r="BF21" s="154"/>
    </row>
    <row r="22" spans="1:58" ht="12.75" customHeight="1" x14ac:dyDescent="0.2">
      <c r="A22" s="34"/>
      <c r="B22" s="24" t="str">
        <f t="shared" si="0"/>
        <v>Me</v>
      </c>
      <c r="C22" s="25">
        <f t="shared" si="22"/>
        <v>45427</v>
      </c>
      <c r="D22" s="51"/>
      <c r="E22" s="116"/>
      <c r="F22" s="52"/>
      <c r="G22" s="53"/>
      <c r="H22" s="52"/>
      <c r="I22" s="53"/>
      <c r="J22" s="54"/>
      <c r="K22" s="55"/>
      <c r="L22" s="40">
        <f t="shared" si="1"/>
        <v>0</v>
      </c>
      <c r="M22" s="41">
        <f t="shared" si="23"/>
        <v>0.95</v>
      </c>
      <c r="N22" s="42">
        <f>IF(AND(D22&lt;&gt;"Jour libre 4/5",B22&lt;&gt;"Sa",B22&lt;&gt;"Di"),SUM(N21,Configuration!$H$41),SUM(N21))</f>
        <v>3.4833333333333325</v>
      </c>
      <c r="O22" s="49" t="str">
        <f t="shared" si="24"/>
        <v>-</v>
      </c>
      <c r="P22" s="143">
        <f t="shared" si="17"/>
        <v>2.5333333333333323</v>
      </c>
      <c r="Q22" s="167">
        <f t="shared" si="18"/>
        <v>0</v>
      </c>
      <c r="R22" s="168">
        <f t="shared" si="18"/>
        <v>0</v>
      </c>
      <c r="S22" s="168">
        <f t="shared" si="18"/>
        <v>0</v>
      </c>
      <c r="T22" s="169">
        <f t="shared" si="18"/>
        <v>0</v>
      </c>
      <c r="U22" s="97">
        <f t="shared" si="2"/>
        <v>0</v>
      </c>
      <c r="V22" s="97">
        <f t="shared" si="3"/>
        <v>0</v>
      </c>
      <c r="W22" s="97">
        <f t="shared" si="4"/>
        <v>0</v>
      </c>
      <c r="X22" s="97">
        <f t="shared" si="5"/>
        <v>0</v>
      </c>
      <c r="Y22" s="209"/>
      <c r="Z22" s="210"/>
      <c r="AA22" s="210"/>
      <c r="AB22" s="128">
        <f>IF(AND(D22="Jour férié semaine",((G22-F22)+(I22-H22)+(K22-J22)=0)),VLOOKUP(D22,Systeemgegevens!$J:$K,2,FALSE),0)</f>
        <v>0</v>
      </c>
      <c r="AC22" s="43">
        <f>IF(AND(NOT(ISERROR(FIND("Congé",D22))),ISERROR(FIND("1/2",D22)),ISERROR(FIND("Synd",D22)),ISERROR(FIND("synd",D22)),(G22-F22+I22-H22+K22-J22)=0),VLOOKUP(D22,Systeemgegevens!$J:$K,2,FALSE),IF(AND(NOT(ISERROR(FIND("1/2 Congé + ",D22))),(G22-F22+I22-H22+K22-J22)=0),VLOOKUP(D22,Systeemgegevens!$J:$K,2,FALSE)/2,IF(AND(NOT(ISERROR(FIND("1/2 Congé",D22))),ISERROR(FIND(" + ",D22)),ISERROR(FIND("1/2 Congé Synd.",D22))),VLOOKUP(D22,Systeemgegevens!$J:$K,2,FALSE),0)))</f>
        <v>0</v>
      </c>
      <c r="AD22" s="43">
        <f>IF(AND(OR(D22="1/2 Congé Synd.",D22="Congé Synd."),((G22-F22)+(I22-H22)+(K22-J22)=0)),VLOOKUP(D22,Systeemgegevens!$J:$K,2,FALSE),IF(AND(D22="1/2 Congé + 1/2 synd.",((G22-F22)+(I22-H22)+(K22-J22)=0)),AC22,0))</f>
        <v>0</v>
      </c>
      <c r="AE22" s="43">
        <f>IF(AND(D22="Jour de pont",((G22-F22)+(I22-H22)+(K22-J22)=0)),VLOOKUP(D22,Systeemgegevens!$J:$K,2,FALSE),0)</f>
        <v>0</v>
      </c>
      <c r="AF22" s="43">
        <f>IF(AND(D22="Jour libre 4/5",AND((G22-F22)+(I22-H22)+(K22-J22)=0)),VLOOKUP(D22,Systeemgegevens!$J:$K,2,FALSE),0)</f>
        <v>0</v>
      </c>
      <c r="AG22" s="118">
        <f>IF(AND(D22&lt;&gt;"",SUM(AB22:AF22)=0,D22&lt;&gt;$AB$4,D22&lt;&gt;$AC$4,D22&lt;&gt;$AE$4,D22&lt;&gt;$AF$4),VLOOKUP(D22,Systeemgegevens!$J:$K,2,FALSE),0)</f>
        <v>0</v>
      </c>
      <c r="AH22" s="119">
        <f t="shared" si="6"/>
        <v>0</v>
      </c>
      <c r="AI22" s="101">
        <f t="shared" si="7"/>
        <v>0</v>
      </c>
      <c r="AJ22" s="118">
        <f t="shared" si="19"/>
        <v>0</v>
      </c>
      <c r="AK22" s="119">
        <f t="shared" si="8"/>
        <v>0</v>
      </c>
      <c r="AL22" s="101">
        <f t="shared" si="9"/>
        <v>0</v>
      </c>
      <c r="AM22" s="43">
        <f t="shared" si="20"/>
        <v>0</v>
      </c>
      <c r="AN22" s="118">
        <f t="shared" si="21"/>
        <v>0</v>
      </c>
      <c r="AO22" s="122">
        <f t="shared" si="10"/>
        <v>0</v>
      </c>
      <c r="AP22" s="107">
        <f t="shared" si="11"/>
        <v>0</v>
      </c>
      <c r="AQ22" s="107">
        <f t="shared" si="12"/>
        <v>0</v>
      </c>
      <c r="AR22" s="123">
        <f t="shared" si="13"/>
        <v>0</v>
      </c>
      <c r="AS22" s="124">
        <f t="shared" si="14"/>
        <v>0</v>
      </c>
      <c r="AT22" s="124">
        <f t="shared" si="15"/>
        <v>0</v>
      </c>
      <c r="AU22" s="124">
        <f t="shared" si="16"/>
        <v>0</v>
      </c>
      <c r="AV22" s="117" t="s">
        <v>23</v>
      </c>
      <c r="AW22" s="129">
        <f>IF(($R$41=AV22)*AND($R$42&lt;&gt;""),VLOOKUP($R$42,'Barèmes police'!$AR$4:$AS$30,2),0)</f>
        <v>0</v>
      </c>
      <c r="AX22" s="16" t="str">
        <f>IF('Types de jours'!F28&lt;&gt;"",'Types de jours'!F28,"")</f>
        <v/>
      </c>
      <c r="AY22" s="144" t="str">
        <f>IF(AX22&lt;&gt;"",'Types de jours'!I28,"")</f>
        <v/>
      </c>
      <c r="AZ22" s="269"/>
      <c r="BA22" s="154"/>
      <c r="BB22" s="154"/>
      <c r="BC22" s="154"/>
      <c r="BD22" s="154"/>
      <c r="BE22" s="154"/>
      <c r="BF22" s="154"/>
    </row>
    <row r="23" spans="1:58" ht="12.75" customHeight="1" x14ac:dyDescent="0.2">
      <c r="A23" s="34"/>
      <c r="B23" s="24" t="str">
        <f t="shared" si="0"/>
        <v>Je</v>
      </c>
      <c r="C23" s="25">
        <f t="shared" si="22"/>
        <v>45428</v>
      </c>
      <c r="D23" s="51"/>
      <c r="E23" s="116"/>
      <c r="F23" s="52"/>
      <c r="G23" s="53"/>
      <c r="H23" s="52"/>
      <c r="I23" s="53"/>
      <c r="J23" s="54"/>
      <c r="K23" s="55"/>
      <c r="L23" s="40">
        <f t="shared" si="1"/>
        <v>0</v>
      </c>
      <c r="M23" s="41">
        <f t="shared" si="23"/>
        <v>0.95</v>
      </c>
      <c r="N23" s="42">
        <f>IF(AND(D23&lt;&gt;"Jour libre 4/5",B23&lt;&gt;"Sa",B23&lt;&gt;"Di"),SUM(N22,Configuration!$H$41),SUM(N22))</f>
        <v>3.7999999999999989</v>
      </c>
      <c r="O23" s="49" t="str">
        <f t="shared" si="24"/>
        <v>-</v>
      </c>
      <c r="P23" s="143">
        <f t="shared" si="17"/>
        <v>2.8499999999999988</v>
      </c>
      <c r="Q23" s="167">
        <f t="shared" si="18"/>
        <v>0</v>
      </c>
      <c r="R23" s="168">
        <f t="shared" si="18"/>
        <v>0</v>
      </c>
      <c r="S23" s="168">
        <f t="shared" si="18"/>
        <v>0</v>
      </c>
      <c r="T23" s="169">
        <f t="shared" si="18"/>
        <v>0</v>
      </c>
      <c r="U23" s="97">
        <f t="shared" si="2"/>
        <v>0</v>
      </c>
      <c r="V23" s="97">
        <f t="shared" si="3"/>
        <v>0</v>
      </c>
      <c r="W23" s="97">
        <f t="shared" si="4"/>
        <v>0</v>
      </c>
      <c r="X23" s="97">
        <f t="shared" si="5"/>
        <v>0</v>
      </c>
      <c r="Y23" s="209"/>
      <c r="Z23" s="210"/>
      <c r="AA23" s="210"/>
      <c r="AB23" s="128">
        <f>IF(AND(D23="Jour férié semaine",((G23-F23)+(I23-H23)+(K23-J23)=0)),VLOOKUP(D23,Systeemgegevens!$J:$K,2,FALSE),0)</f>
        <v>0</v>
      </c>
      <c r="AC23" s="43">
        <f>IF(AND(NOT(ISERROR(FIND("Congé",D23))),ISERROR(FIND("1/2",D23)),ISERROR(FIND("Synd",D23)),ISERROR(FIND("synd",D23)),(G23-F23+I23-H23+K23-J23)=0),VLOOKUP(D23,Systeemgegevens!$J:$K,2,FALSE),IF(AND(NOT(ISERROR(FIND("1/2 Congé + ",D23))),(G23-F23+I23-H23+K23-J23)=0),VLOOKUP(D23,Systeemgegevens!$J:$K,2,FALSE)/2,IF(AND(NOT(ISERROR(FIND("1/2 Congé",D23))),ISERROR(FIND(" + ",D23)),ISERROR(FIND("1/2 Congé Synd.",D23))),VLOOKUP(D23,Systeemgegevens!$J:$K,2,FALSE),0)))</f>
        <v>0</v>
      </c>
      <c r="AD23" s="43">
        <f>IF(AND(OR(D23="1/2 Congé Synd.",D23="Congé Synd."),((G23-F23)+(I23-H23)+(K23-J23)=0)),VLOOKUP(D23,Systeemgegevens!$J:$K,2,FALSE),IF(AND(D23="1/2 Congé + 1/2 synd.",((G23-F23)+(I23-H23)+(K23-J23)=0)),AC23,0))</f>
        <v>0</v>
      </c>
      <c r="AE23" s="43">
        <f>IF(AND(D23="Jour de pont",((G23-F23)+(I23-H23)+(K23-J23)=0)),VLOOKUP(D23,Systeemgegevens!$J:$K,2,FALSE),0)</f>
        <v>0</v>
      </c>
      <c r="AF23" s="43">
        <f>IF(AND(D23="Jour libre 4/5",AND((G23-F23)+(I23-H23)+(K23-J23)=0)),VLOOKUP(D23,Systeemgegevens!$J:$K,2,FALSE),0)</f>
        <v>0</v>
      </c>
      <c r="AG23" s="118">
        <f>IF(AND(D23&lt;&gt;"",SUM(AB23:AF23)=0,D23&lt;&gt;$AB$4,D23&lt;&gt;$AC$4,D23&lt;&gt;$AE$4,D23&lt;&gt;$AF$4),VLOOKUP(D23,Systeemgegevens!$J:$K,2,FALSE),0)</f>
        <v>0</v>
      </c>
      <c r="AH23" s="119">
        <f t="shared" si="6"/>
        <v>0</v>
      </c>
      <c r="AI23" s="101">
        <f t="shared" si="7"/>
        <v>0</v>
      </c>
      <c r="AJ23" s="118">
        <f t="shared" si="19"/>
        <v>0</v>
      </c>
      <c r="AK23" s="119">
        <f t="shared" si="8"/>
        <v>0</v>
      </c>
      <c r="AL23" s="101">
        <f t="shared" si="9"/>
        <v>0</v>
      </c>
      <c r="AM23" s="43">
        <f t="shared" si="20"/>
        <v>0</v>
      </c>
      <c r="AN23" s="118">
        <f t="shared" si="21"/>
        <v>0</v>
      </c>
      <c r="AO23" s="122">
        <f t="shared" si="10"/>
        <v>0</v>
      </c>
      <c r="AP23" s="107">
        <f t="shared" si="11"/>
        <v>0</v>
      </c>
      <c r="AQ23" s="107">
        <f t="shared" si="12"/>
        <v>0</v>
      </c>
      <c r="AR23" s="123">
        <f t="shared" si="13"/>
        <v>0</v>
      </c>
      <c r="AS23" s="124">
        <f t="shared" si="14"/>
        <v>0</v>
      </c>
      <c r="AT23" s="124">
        <f t="shared" si="15"/>
        <v>0</v>
      </c>
      <c r="AU23" s="124">
        <f t="shared" si="16"/>
        <v>0</v>
      </c>
      <c r="AV23" s="117" t="s">
        <v>22</v>
      </c>
      <c r="AW23" s="129">
        <f>IF(($R$41=AV23)*AND($R$42&lt;&gt;""),VLOOKUP($R$42,'Barèmes police'!$AU$4:$AV$34,2),0)</f>
        <v>0</v>
      </c>
      <c r="AX23" s="16" t="str">
        <f>IF('Types de jours'!F29&lt;&gt;"",'Types de jours'!F29,"")</f>
        <v/>
      </c>
      <c r="AY23" s="144" t="str">
        <f>IF(AX23&lt;&gt;"",'Types de jours'!I29,"")</f>
        <v/>
      </c>
      <c r="AZ23" s="269"/>
      <c r="BA23" s="154"/>
      <c r="BB23" s="154"/>
      <c r="BC23" s="154"/>
      <c r="BD23" s="154"/>
      <c r="BE23" s="154"/>
      <c r="BF23" s="154"/>
    </row>
    <row r="24" spans="1:58" ht="12.75" customHeight="1" x14ac:dyDescent="0.2">
      <c r="A24" s="34"/>
      <c r="B24" s="24" t="str">
        <f t="shared" si="0"/>
        <v>Ve</v>
      </c>
      <c r="C24" s="25">
        <f t="shared" si="22"/>
        <v>45429</v>
      </c>
      <c r="D24" s="51"/>
      <c r="E24" s="116"/>
      <c r="F24" s="52"/>
      <c r="G24" s="53"/>
      <c r="H24" s="52"/>
      <c r="I24" s="53"/>
      <c r="J24" s="54"/>
      <c r="K24" s="55"/>
      <c r="L24" s="40">
        <f t="shared" si="1"/>
        <v>0</v>
      </c>
      <c r="M24" s="41">
        <f t="shared" si="23"/>
        <v>0.95</v>
      </c>
      <c r="N24" s="42">
        <f>IF(AND(D24&lt;&gt;"Jour libre 4/5",B24&lt;&gt;"Sa",B24&lt;&gt;"Di"),SUM(N23,Configuration!$H$41),SUM(N23))</f>
        <v>4.1166666666666654</v>
      </c>
      <c r="O24" s="49" t="str">
        <f t="shared" si="24"/>
        <v>-</v>
      </c>
      <c r="P24" s="143">
        <f t="shared" si="17"/>
        <v>3.1666666666666652</v>
      </c>
      <c r="Q24" s="167">
        <f t="shared" si="18"/>
        <v>0</v>
      </c>
      <c r="R24" s="168">
        <f t="shared" si="18"/>
        <v>0</v>
      </c>
      <c r="S24" s="168">
        <f t="shared" si="18"/>
        <v>0</v>
      </c>
      <c r="T24" s="169">
        <f t="shared" si="18"/>
        <v>0</v>
      </c>
      <c r="U24" s="97">
        <f t="shared" si="2"/>
        <v>0</v>
      </c>
      <c r="V24" s="97">
        <f t="shared" si="3"/>
        <v>0</v>
      </c>
      <c r="W24" s="97">
        <f t="shared" si="4"/>
        <v>0</v>
      </c>
      <c r="X24" s="97">
        <f t="shared" si="5"/>
        <v>0</v>
      </c>
      <c r="Y24" s="209"/>
      <c r="Z24" s="210"/>
      <c r="AA24" s="210"/>
      <c r="AB24" s="128">
        <f>IF(AND(D24="Jour férié semaine",((G24-F24)+(I24-H24)+(K24-J24)=0)),VLOOKUP(D24,Systeemgegevens!$J:$K,2,FALSE),0)</f>
        <v>0</v>
      </c>
      <c r="AC24" s="43">
        <f>IF(AND(NOT(ISERROR(FIND("Congé",D24))),ISERROR(FIND("1/2",D24)),ISERROR(FIND("Synd",D24)),ISERROR(FIND("synd",D24)),(G24-F24+I24-H24+K24-J24)=0),VLOOKUP(D24,Systeemgegevens!$J:$K,2,FALSE),IF(AND(NOT(ISERROR(FIND("1/2 Congé + ",D24))),(G24-F24+I24-H24+K24-J24)=0),VLOOKUP(D24,Systeemgegevens!$J:$K,2,FALSE)/2,IF(AND(NOT(ISERROR(FIND("1/2 Congé",D24))),ISERROR(FIND(" + ",D24)),ISERROR(FIND("1/2 Congé Synd.",D24))),VLOOKUP(D24,Systeemgegevens!$J:$K,2,FALSE),0)))</f>
        <v>0</v>
      </c>
      <c r="AD24" s="43">
        <f>IF(AND(OR(D24="1/2 Congé Synd.",D24="Congé Synd."),((G24-F24)+(I24-H24)+(K24-J24)=0)),VLOOKUP(D24,Systeemgegevens!$J:$K,2,FALSE),IF(AND(D24="1/2 Congé + 1/2 synd.",((G24-F24)+(I24-H24)+(K24-J24)=0)),AC24,0))</f>
        <v>0</v>
      </c>
      <c r="AE24" s="43">
        <f>IF(AND(D24="Jour de pont",((G24-F24)+(I24-H24)+(K24-J24)=0)),VLOOKUP(D24,Systeemgegevens!$J:$K,2,FALSE),0)</f>
        <v>0</v>
      </c>
      <c r="AF24" s="43">
        <f>IF(AND(D24="Jour libre 4/5",AND((G24-F24)+(I24-H24)+(K24-J24)=0)),VLOOKUP(D24,Systeemgegevens!$J:$K,2,FALSE),0)</f>
        <v>0</v>
      </c>
      <c r="AG24" s="118">
        <f>IF(AND(D24&lt;&gt;"",SUM(AB24:AF24)=0,D24&lt;&gt;$AB$4,D24&lt;&gt;$AC$4,D24&lt;&gt;$AE$4,D24&lt;&gt;$AF$4),VLOOKUP(D24,Systeemgegevens!$J:$K,2,FALSE),0)</f>
        <v>0</v>
      </c>
      <c r="AH24" s="119">
        <f t="shared" si="6"/>
        <v>0</v>
      </c>
      <c r="AI24" s="101">
        <f t="shared" si="7"/>
        <v>0</v>
      </c>
      <c r="AJ24" s="118">
        <f t="shared" si="19"/>
        <v>0</v>
      </c>
      <c r="AK24" s="119">
        <f t="shared" si="8"/>
        <v>0</v>
      </c>
      <c r="AL24" s="101">
        <f t="shared" si="9"/>
        <v>0</v>
      </c>
      <c r="AM24" s="43">
        <f t="shared" si="20"/>
        <v>0</v>
      </c>
      <c r="AN24" s="118">
        <f t="shared" si="21"/>
        <v>0</v>
      </c>
      <c r="AO24" s="122">
        <f t="shared" si="10"/>
        <v>0</v>
      </c>
      <c r="AP24" s="107">
        <f t="shared" si="11"/>
        <v>0</v>
      </c>
      <c r="AQ24" s="107">
        <f t="shared" si="12"/>
        <v>0</v>
      </c>
      <c r="AR24" s="123">
        <f t="shared" si="13"/>
        <v>0</v>
      </c>
      <c r="AS24" s="124">
        <f t="shared" si="14"/>
        <v>0</v>
      </c>
      <c r="AT24" s="124">
        <f t="shared" si="15"/>
        <v>0</v>
      </c>
      <c r="AU24" s="124">
        <f t="shared" si="16"/>
        <v>0</v>
      </c>
      <c r="AV24" s="117" t="s">
        <v>21</v>
      </c>
      <c r="AW24" s="129">
        <f>IF(($R$41=AV24)*AND($R$42&lt;&gt;""),VLOOKUP($R$42,'Barèmes police'!$AX$4:$AY$30,2),0)</f>
        <v>0</v>
      </c>
      <c r="AX24" s="16" t="str">
        <f>IF('Types de jours'!F30&lt;&gt;"",'Types de jours'!F30,"")</f>
        <v/>
      </c>
      <c r="AY24" s="144" t="str">
        <f>IF(AX24&lt;&gt;"",'Types de jours'!I30,"")</f>
        <v/>
      </c>
      <c r="AZ24" s="269"/>
      <c r="BA24" s="154"/>
      <c r="BB24" s="154"/>
      <c r="BC24" s="154"/>
      <c r="BD24" s="154"/>
      <c r="BE24" s="154"/>
      <c r="BF24" s="154"/>
    </row>
    <row r="25" spans="1:58" ht="12.75" customHeight="1" x14ac:dyDescent="0.2">
      <c r="A25" s="34"/>
      <c r="B25" s="24" t="str">
        <f t="shared" si="0"/>
        <v>Sa</v>
      </c>
      <c r="C25" s="25">
        <f t="shared" si="22"/>
        <v>45430</v>
      </c>
      <c r="D25" s="51"/>
      <c r="E25" s="116"/>
      <c r="F25" s="52"/>
      <c r="G25" s="53"/>
      <c r="H25" s="52"/>
      <c r="I25" s="53"/>
      <c r="J25" s="54"/>
      <c r="K25" s="55"/>
      <c r="L25" s="40">
        <f t="shared" si="1"/>
        <v>0</v>
      </c>
      <c r="M25" s="41">
        <f t="shared" si="23"/>
        <v>0.95</v>
      </c>
      <c r="N25" s="42">
        <f>IF(AND(D25&lt;&gt;"Jour libre 4/5",B25&lt;&gt;"Sa",B25&lt;&gt;"Di"),SUM(N24,Configuration!$H$41),SUM(N24))</f>
        <v>4.1166666666666654</v>
      </c>
      <c r="O25" s="49" t="str">
        <f t="shared" si="24"/>
        <v>-</v>
      </c>
      <c r="P25" s="143">
        <f t="shared" si="17"/>
        <v>3.1666666666666652</v>
      </c>
      <c r="Q25" s="167">
        <f t="shared" si="18"/>
        <v>0</v>
      </c>
      <c r="R25" s="168">
        <f t="shared" si="18"/>
        <v>0</v>
      </c>
      <c r="S25" s="168">
        <f t="shared" si="18"/>
        <v>0</v>
      </c>
      <c r="T25" s="169">
        <f t="shared" si="18"/>
        <v>0</v>
      </c>
      <c r="U25" s="97">
        <f t="shared" si="2"/>
        <v>0</v>
      </c>
      <c r="V25" s="97">
        <f t="shared" si="3"/>
        <v>0</v>
      </c>
      <c r="W25" s="97">
        <f t="shared" si="4"/>
        <v>0</v>
      </c>
      <c r="X25" s="97">
        <f t="shared" si="5"/>
        <v>0</v>
      </c>
      <c r="Y25" s="209"/>
      <c r="Z25" s="210"/>
      <c r="AA25" s="210"/>
      <c r="AB25" s="128">
        <f>IF(AND(D25="Jour férié semaine",((G25-F25)+(I25-H25)+(K25-J25)=0)),VLOOKUP(D25,Systeemgegevens!$J:$K,2,FALSE),0)</f>
        <v>0</v>
      </c>
      <c r="AC25" s="43">
        <f>IF(AND(NOT(ISERROR(FIND("Congé",D25))),ISERROR(FIND("1/2",D25)),ISERROR(FIND("Synd",D25)),ISERROR(FIND("synd",D25)),(G25-F25+I25-H25+K25-J25)=0),VLOOKUP(D25,Systeemgegevens!$J:$K,2,FALSE),IF(AND(NOT(ISERROR(FIND("1/2 Congé + ",D25))),(G25-F25+I25-H25+K25-J25)=0),VLOOKUP(D25,Systeemgegevens!$J:$K,2,FALSE)/2,IF(AND(NOT(ISERROR(FIND("1/2 Congé",D25))),ISERROR(FIND(" + ",D25)),ISERROR(FIND("1/2 Congé Synd.",D25))),VLOOKUP(D25,Systeemgegevens!$J:$K,2,FALSE),0)))</f>
        <v>0</v>
      </c>
      <c r="AD25" s="43">
        <f>IF(AND(OR(D25="1/2 Congé Synd.",D25="Congé Synd."),((G25-F25)+(I25-H25)+(K25-J25)=0)),VLOOKUP(D25,Systeemgegevens!$J:$K,2,FALSE),IF(AND(D25="1/2 Congé + 1/2 synd.",((G25-F25)+(I25-H25)+(K25-J25)=0)),AC25,0))</f>
        <v>0</v>
      </c>
      <c r="AE25" s="43">
        <f>IF(AND(D25="Jour de pont",((G25-F25)+(I25-H25)+(K25-J25)=0)),VLOOKUP(D25,Systeemgegevens!$J:$K,2,FALSE),0)</f>
        <v>0</v>
      </c>
      <c r="AF25" s="43">
        <f>IF(AND(D25="Jour libre 4/5",AND((G25-F25)+(I25-H25)+(K25-J25)=0)),VLOOKUP(D25,Systeemgegevens!$J:$K,2,FALSE),0)</f>
        <v>0</v>
      </c>
      <c r="AG25" s="118">
        <f>IF(AND(D25&lt;&gt;"",SUM(AB25:AF25)=0,D25&lt;&gt;$AB$4,D25&lt;&gt;$AC$4,D25&lt;&gt;$AE$4,D25&lt;&gt;$AF$4),VLOOKUP(D25,Systeemgegevens!$J:$K,2,FALSE),0)</f>
        <v>0</v>
      </c>
      <c r="AH25" s="119">
        <f t="shared" si="6"/>
        <v>0</v>
      </c>
      <c r="AI25" s="101">
        <f t="shared" si="7"/>
        <v>0</v>
      </c>
      <c r="AJ25" s="118">
        <f t="shared" si="19"/>
        <v>0</v>
      </c>
      <c r="AK25" s="119">
        <f t="shared" si="8"/>
        <v>0</v>
      </c>
      <c r="AL25" s="101">
        <f t="shared" si="9"/>
        <v>0</v>
      </c>
      <c r="AM25" s="43">
        <f t="shared" si="20"/>
        <v>0</v>
      </c>
      <c r="AN25" s="118">
        <f t="shared" si="21"/>
        <v>0</v>
      </c>
      <c r="AO25" s="122">
        <f t="shared" si="10"/>
        <v>0</v>
      </c>
      <c r="AP25" s="107">
        <f t="shared" si="11"/>
        <v>0</v>
      </c>
      <c r="AQ25" s="107">
        <f t="shared" si="12"/>
        <v>0</v>
      </c>
      <c r="AR25" s="123">
        <f t="shared" si="13"/>
        <v>0</v>
      </c>
      <c r="AS25" s="124">
        <f t="shared" si="14"/>
        <v>0</v>
      </c>
      <c r="AT25" s="124">
        <f t="shared" si="15"/>
        <v>0</v>
      </c>
      <c r="AU25" s="124">
        <f t="shared" si="16"/>
        <v>0</v>
      </c>
      <c r="AV25" s="117" t="s">
        <v>20</v>
      </c>
      <c r="AW25" s="129">
        <f>IF(($R$41=AV25)*AND($R$42&lt;&gt;""),VLOOKUP($R$42,'Barèmes police'!$BA$4:$BB$34,2),0)</f>
        <v>0</v>
      </c>
      <c r="AX25" s="16" t="str">
        <f>IF('Types de jours'!F31&lt;&gt;"",'Types de jours'!F31,"")</f>
        <v/>
      </c>
      <c r="AY25" s="144" t="str">
        <f>IF(AX25&lt;&gt;"",'Types de jours'!I31,"")</f>
        <v/>
      </c>
      <c r="AZ25" s="269"/>
      <c r="BA25" s="154"/>
      <c r="BB25" s="154"/>
      <c r="BC25" s="154"/>
      <c r="BD25" s="154"/>
      <c r="BE25" s="154"/>
      <c r="BF25" s="154"/>
    </row>
    <row r="26" spans="1:58" ht="12.75" customHeight="1" x14ac:dyDescent="0.2">
      <c r="A26" s="34"/>
      <c r="B26" s="24" t="str">
        <f t="shared" si="0"/>
        <v>Di</v>
      </c>
      <c r="C26" s="25">
        <f t="shared" si="22"/>
        <v>45431</v>
      </c>
      <c r="D26" s="51"/>
      <c r="E26" s="116"/>
      <c r="F26" s="52"/>
      <c r="G26" s="53"/>
      <c r="H26" s="54"/>
      <c r="I26" s="55"/>
      <c r="J26" s="54"/>
      <c r="K26" s="55"/>
      <c r="L26" s="40">
        <f t="shared" si="1"/>
        <v>0</v>
      </c>
      <c r="M26" s="41">
        <f t="shared" si="23"/>
        <v>0.95</v>
      </c>
      <c r="N26" s="42">
        <f>IF(AND(D26&lt;&gt;"Jour libre 4/5",B26&lt;&gt;"Sa",B26&lt;&gt;"Di"),SUM(N25,Configuration!$H$41),SUM(N25))</f>
        <v>4.1166666666666654</v>
      </c>
      <c r="O26" s="49" t="str">
        <f t="shared" si="24"/>
        <v>-</v>
      </c>
      <c r="P26" s="143">
        <f t="shared" si="17"/>
        <v>3.1666666666666652</v>
      </c>
      <c r="Q26" s="167">
        <f t="shared" si="18"/>
        <v>0</v>
      </c>
      <c r="R26" s="168">
        <f t="shared" si="18"/>
        <v>0</v>
      </c>
      <c r="S26" s="168">
        <f t="shared" si="18"/>
        <v>0</v>
      </c>
      <c r="T26" s="169">
        <f t="shared" si="18"/>
        <v>0</v>
      </c>
      <c r="U26" s="97">
        <f t="shared" si="2"/>
        <v>0</v>
      </c>
      <c r="V26" s="97">
        <f t="shared" si="3"/>
        <v>0</v>
      </c>
      <c r="W26" s="97">
        <f t="shared" si="4"/>
        <v>0</v>
      </c>
      <c r="X26" s="97">
        <f t="shared" si="5"/>
        <v>0</v>
      </c>
      <c r="Y26" s="209"/>
      <c r="Z26" s="210"/>
      <c r="AA26" s="210"/>
      <c r="AB26" s="128">
        <f>IF(AND(D26="Jour férié semaine",((G26-F26)+(I26-H26)+(K26-J26)=0)),VLOOKUP(D26,Systeemgegevens!$J:$K,2,FALSE),0)</f>
        <v>0</v>
      </c>
      <c r="AC26" s="43">
        <f>IF(AND(NOT(ISERROR(FIND("Congé",D26))),ISERROR(FIND("1/2",D26)),ISERROR(FIND("Synd",D26)),ISERROR(FIND("synd",D26)),(G26-F26+I26-H26+K26-J26)=0),VLOOKUP(D26,Systeemgegevens!$J:$K,2,FALSE),IF(AND(NOT(ISERROR(FIND("1/2 Congé + ",D26))),(G26-F26+I26-H26+K26-J26)=0),VLOOKUP(D26,Systeemgegevens!$J:$K,2,FALSE)/2,IF(AND(NOT(ISERROR(FIND("1/2 Congé",D26))),ISERROR(FIND(" + ",D26)),ISERROR(FIND("1/2 Congé Synd.",D26))),VLOOKUP(D26,Systeemgegevens!$J:$K,2,FALSE),0)))</f>
        <v>0</v>
      </c>
      <c r="AD26" s="43">
        <f>IF(AND(OR(D26="1/2 Congé Synd.",D26="Congé Synd."),((G26-F26)+(I26-H26)+(K26-J26)=0)),VLOOKUP(D26,Systeemgegevens!$J:$K,2,FALSE),IF(AND(D26="1/2 Congé + 1/2 synd.",((G26-F26)+(I26-H26)+(K26-J26)=0)),AC26,0))</f>
        <v>0</v>
      </c>
      <c r="AE26" s="43">
        <f>IF(AND(D26="Jour de pont",((G26-F26)+(I26-H26)+(K26-J26)=0)),VLOOKUP(D26,Systeemgegevens!$J:$K,2,FALSE),0)</f>
        <v>0</v>
      </c>
      <c r="AF26" s="43">
        <f>IF(AND(D26="Jour libre 4/5",AND((G26-F26)+(I26-H26)+(K26-J26)=0)),VLOOKUP(D26,Systeemgegevens!$J:$K,2,FALSE),0)</f>
        <v>0</v>
      </c>
      <c r="AG26" s="118">
        <f>IF(AND(D26&lt;&gt;"",SUM(AB26:AF26)=0,D26&lt;&gt;$AB$4,D26&lt;&gt;$AC$4,D26&lt;&gt;$AE$4,D26&lt;&gt;$AF$4),VLOOKUP(D26,Systeemgegevens!$J:$K,2,FALSE),0)</f>
        <v>0</v>
      </c>
      <c r="AH26" s="119">
        <f t="shared" si="6"/>
        <v>0</v>
      </c>
      <c r="AI26" s="101">
        <f t="shared" si="7"/>
        <v>0</v>
      </c>
      <c r="AJ26" s="118">
        <f t="shared" si="19"/>
        <v>0</v>
      </c>
      <c r="AK26" s="119">
        <f t="shared" si="8"/>
        <v>0</v>
      </c>
      <c r="AL26" s="101">
        <f t="shared" si="9"/>
        <v>0</v>
      </c>
      <c r="AM26" s="43">
        <f t="shared" si="20"/>
        <v>0</v>
      </c>
      <c r="AN26" s="118">
        <f t="shared" si="21"/>
        <v>0</v>
      </c>
      <c r="AO26" s="122">
        <f t="shared" si="10"/>
        <v>0</v>
      </c>
      <c r="AP26" s="107">
        <f t="shared" si="11"/>
        <v>0</v>
      </c>
      <c r="AQ26" s="107">
        <f t="shared" si="12"/>
        <v>0</v>
      </c>
      <c r="AR26" s="123">
        <f t="shared" si="13"/>
        <v>0</v>
      </c>
      <c r="AS26" s="124">
        <f t="shared" si="14"/>
        <v>0</v>
      </c>
      <c r="AT26" s="124">
        <f t="shared" si="15"/>
        <v>0</v>
      </c>
      <c r="AU26" s="124">
        <f t="shared" si="16"/>
        <v>0</v>
      </c>
      <c r="AV26" s="117" t="s">
        <v>19</v>
      </c>
      <c r="AW26" s="129">
        <f>IF(($R$41=AV26)*AND($R$42&lt;&gt;""),VLOOKUP($R$42,'Barèmes police'!$BD$4:$BE$30,2),0)</f>
        <v>0</v>
      </c>
      <c r="AX26" s="16" t="str">
        <f>IF('Types de jours'!F32&lt;&gt;"",'Types de jours'!F32,"")</f>
        <v/>
      </c>
      <c r="AY26" s="144" t="str">
        <f>IF(AX26&lt;&gt;"",'Types de jours'!I32,"")</f>
        <v/>
      </c>
      <c r="AZ26" s="269"/>
      <c r="BA26" s="154"/>
      <c r="BB26" s="154"/>
      <c r="BC26" s="154"/>
      <c r="BD26" s="154"/>
      <c r="BE26" s="154"/>
      <c r="BF26" s="154"/>
    </row>
    <row r="27" spans="1:58" ht="12.75" customHeight="1" x14ac:dyDescent="0.2">
      <c r="A27" s="34"/>
      <c r="B27" s="24" t="str">
        <f t="shared" si="0"/>
        <v>Lu</v>
      </c>
      <c r="C27" s="25">
        <f t="shared" si="22"/>
        <v>45432</v>
      </c>
      <c r="D27" s="51" t="s">
        <v>259</v>
      </c>
      <c r="E27" s="116"/>
      <c r="F27" s="52"/>
      <c r="G27" s="53"/>
      <c r="H27" s="54"/>
      <c r="I27" s="55"/>
      <c r="J27" s="54"/>
      <c r="K27" s="55"/>
      <c r="L27" s="40">
        <f t="shared" si="1"/>
        <v>0.31666666666666665</v>
      </c>
      <c r="M27" s="41">
        <f t="shared" si="23"/>
        <v>1.2666666666666666</v>
      </c>
      <c r="N27" s="42">
        <f>IF(AND(D27&lt;&gt;"Jour libre 4/5",B27&lt;&gt;"Sa",B27&lt;&gt;"Di"),SUM(N26,Configuration!$H$41),SUM(N26))</f>
        <v>4.4333333333333318</v>
      </c>
      <c r="O27" s="49" t="str">
        <f t="shared" si="24"/>
        <v>-</v>
      </c>
      <c r="P27" s="143">
        <f t="shared" si="17"/>
        <v>3.1666666666666652</v>
      </c>
      <c r="Q27" s="167">
        <f t="shared" si="18"/>
        <v>0</v>
      </c>
      <c r="R27" s="168">
        <f t="shared" si="18"/>
        <v>0</v>
      </c>
      <c r="S27" s="168">
        <f t="shared" si="18"/>
        <v>0</v>
      </c>
      <c r="T27" s="169">
        <f t="shared" si="18"/>
        <v>0</v>
      </c>
      <c r="U27" s="97">
        <f t="shared" si="2"/>
        <v>0</v>
      </c>
      <c r="V27" s="97">
        <f t="shared" si="3"/>
        <v>0</v>
      </c>
      <c r="W27" s="97">
        <f t="shared" si="4"/>
        <v>0</v>
      </c>
      <c r="X27" s="97">
        <f t="shared" si="5"/>
        <v>0</v>
      </c>
      <c r="Y27" s="209"/>
      <c r="Z27" s="210"/>
      <c r="AA27" s="210"/>
      <c r="AB27" s="128">
        <f>IF(AND(D27="Jour férié semaine",((G27-F27)+(I27-H27)+(K27-J27)=0)),VLOOKUP(D27,Systeemgegevens!$J:$K,2,FALSE),0)</f>
        <v>0.31666666666666665</v>
      </c>
      <c r="AC27" s="43">
        <f>IF(AND(NOT(ISERROR(FIND("Congé",D27))),ISERROR(FIND("1/2",D27)),ISERROR(FIND("Synd",D27)),ISERROR(FIND("synd",D27)),(G27-F27+I27-H27+K27-J27)=0),VLOOKUP(D27,Systeemgegevens!$J:$K,2,FALSE),IF(AND(NOT(ISERROR(FIND("1/2 Congé + ",D27))),(G27-F27+I27-H27+K27-J27)=0),VLOOKUP(D27,Systeemgegevens!$J:$K,2,FALSE)/2,IF(AND(NOT(ISERROR(FIND("1/2 Congé",D27))),ISERROR(FIND(" + ",D27)),ISERROR(FIND("1/2 Congé Synd.",D27))),VLOOKUP(D27,Systeemgegevens!$J:$K,2,FALSE),0)))</f>
        <v>0</v>
      </c>
      <c r="AD27" s="43">
        <f>IF(AND(OR(D27="1/2 Congé Synd.",D27="Congé Synd."),((G27-F27)+(I27-H27)+(K27-J27)=0)),VLOOKUP(D27,Systeemgegevens!$J:$K,2,FALSE),IF(AND(D27="1/2 Congé + 1/2 synd.",((G27-F27)+(I27-H27)+(K27-J27)=0)),AC27,0))</f>
        <v>0</v>
      </c>
      <c r="AE27" s="43">
        <f>IF(AND(D27="Jour de pont",((G27-F27)+(I27-H27)+(K27-J27)=0)),VLOOKUP(D27,Systeemgegevens!$J:$K,2,FALSE),0)</f>
        <v>0</v>
      </c>
      <c r="AF27" s="43">
        <f>IF(AND(D27="Jour libre 4/5",AND((G27-F27)+(I27-H27)+(K27-J27)=0)),VLOOKUP(D27,Systeemgegevens!$J:$K,2,FALSE),0)</f>
        <v>0</v>
      </c>
      <c r="AG27" s="118">
        <f>IF(AND(D27&lt;&gt;"",SUM(AB27:AF27)=0,D27&lt;&gt;$AB$4,D27&lt;&gt;$AC$4,D27&lt;&gt;$AE$4,D27&lt;&gt;$AF$4),VLOOKUP(D27,Systeemgegevens!$J:$K,2,FALSE),0)</f>
        <v>0</v>
      </c>
      <c r="AH27" s="119">
        <f t="shared" si="6"/>
        <v>0</v>
      </c>
      <c r="AI27" s="101">
        <f t="shared" si="7"/>
        <v>0</v>
      </c>
      <c r="AJ27" s="118">
        <f t="shared" si="19"/>
        <v>0</v>
      </c>
      <c r="AK27" s="119">
        <f t="shared" si="8"/>
        <v>0</v>
      </c>
      <c r="AL27" s="101">
        <f t="shared" si="9"/>
        <v>0</v>
      </c>
      <c r="AM27" s="43">
        <f t="shared" si="20"/>
        <v>0</v>
      </c>
      <c r="AN27" s="118">
        <f t="shared" si="21"/>
        <v>0</v>
      </c>
      <c r="AO27" s="122">
        <f t="shared" si="10"/>
        <v>0</v>
      </c>
      <c r="AP27" s="107">
        <f t="shared" si="11"/>
        <v>0</v>
      </c>
      <c r="AQ27" s="107">
        <f t="shared" si="12"/>
        <v>0</v>
      </c>
      <c r="AR27" s="123">
        <f t="shared" si="13"/>
        <v>0</v>
      </c>
      <c r="AS27" s="124">
        <f t="shared" si="14"/>
        <v>0</v>
      </c>
      <c r="AT27" s="124">
        <f t="shared" si="15"/>
        <v>0</v>
      </c>
      <c r="AU27" s="124">
        <f t="shared" si="16"/>
        <v>0</v>
      </c>
      <c r="AV27" s="117" t="s">
        <v>18</v>
      </c>
      <c r="AW27" s="129">
        <f>IF(($R$41=AV27)*AND($R$42&lt;&gt;""),VLOOKUP($R$42,'Barèmes police'!$BG$4:$BH$30,2),0)</f>
        <v>0</v>
      </c>
      <c r="AX27" s="16" t="str">
        <f>IF('Types de jours'!F33&lt;&gt;"",'Types de jours'!F33,"")</f>
        <v/>
      </c>
      <c r="AY27" s="144" t="str">
        <f>IF(AX27&lt;&gt;"",'Types de jours'!I33,"")</f>
        <v/>
      </c>
      <c r="AZ27" s="269"/>
      <c r="BA27" s="154"/>
      <c r="BB27" s="154"/>
      <c r="BC27" s="154"/>
      <c r="BD27" s="154"/>
      <c r="BE27" s="154"/>
      <c r="BF27" s="154"/>
    </row>
    <row r="28" spans="1:58" ht="12.75" customHeight="1" x14ac:dyDescent="0.2">
      <c r="A28" s="34"/>
      <c r="B28" s="24" t="str">
        <f t="shared" si="0"/>
        <v>Ma</v>
      </c>
      <c r="C28" s="25">
        <f t="shared" si="22"/>
        <v>45433</v>
      </c>
      <c r="D28" s="51"/>
      <c r="E28" s="116"/>
      <c r="F28" s="52"/>
      <c r="G28" s="53"/>
      <c r="H28" s="54"/>
      <c r="I28" s="55"/>
      <c r="J28" s="54"/>
      <c r="K28" s="55"/>
      <c r="L28" s="40">
        <f t="shared" si="1"/>
        <v>0</v>
      </c>
      <c r="M28" s="41">
        <f t="shared" si="23"/>
        <v>1.2666666666666666</v>
      </c>
      <c r="N28" s="42">
        <f>IF(AND(D28&lt;&gt;"Jour libre 4/5",B28&lt;&gt;"Sa",B28&lt;&gt;"Di"),SUM(N27,Configuration!$H$41),SUM(N27))</f>
        <v>4.7499999999999982</v>
      </c>
      <c r="O28" s="49" t="str">
        <f t="shared" si="24"/>
        <v>-</v>
      </c>
      <c r="P28" s="143">
        <f t="shared" si="17"/>
        <v>3.4833333333333316</v>
      </c>
      <c r="Q28" s="167">
        <f t="shared" si="18"/>
        <v>0</v>
      </c>
      <c r="R28" s="168">
        <f t="shared" si="18"/>
        <v>0</v>
      </c>
      <c r="S28" s="168">
        <f t="shared" si="18"/>
        <v>0</v>
      </c>
      <c r="T28" s="169">
        <f t="shared" si="18"/>
        <v>0</v>
      </c>
      <c r="U28" s="97">
        <f t="shared" si="2"/>
        <v>0</v>
      </c>
      <c r="V28" s="97">
        <f t="shared" si="3"/>
        <v>0</v>
      </c>
      <c r="W28" s="97">
        <f t="shared" si="4"/>
        <v>0</v>
      </c>
      <c r="X28" s="97">
        <f t="shared" si="5"/>
        <v>0</v>
      </c>
      <c r="Y28" s="209"/>
      <c r="Z28" s="210"/>
      <c r="AA28" s="210"/>
      <c r="AB28" s="128">
        <f>IF(AND(D28="Jour férié semaine",((G28-F28)+(I28-H28)+(K28-J28)=0)),VLOOKUP(D28,Systeemgegevens!$J:$K,2,FALSE),0)</f>
        <v>0</v>
      </c>
      <c r="AC28" s="43">
        <f>IF(AND(NOT(ISERROR(FIND("Congé",D28))),ISERROR(FIND("1/2",D28)),ISERROR(FIND("Synd",D28)),ISERROR(FIND("synd",D28)),(G28-F28+I28-H28+K28-J28)=0),VLOOKUP(D28,Systeemgegevens!$J:$K,2,FALSE),IF(AND(NOT(ISERROR(FIND("1/2 Congé + ",D28))),(G28-F28+I28-H28+K28-J28)=0),VLOOKUP(D28,Systeemgegevens!$J:$K,2,FALSE)/2,IF(AND(NOT(ISERROR(FIND("1/2 Congé",D28))),ISERROR(FIND(" + ",D28)),ISERROR(FIND("1/2 Congé Synd.",D28))),VLOOKUP(D28,Systeemgegevens!$J:$K,2,FALSE),0)))</f>
        <v>0</v>
      </c>
      <c r="AD28" s="43">
        <f>IF(AND(OR(D28="1/2 Congé Synd.",D28="Congé Synd."),((G28-F28)+(I28-H28)+(K28-J28)=0)),VLOOKUP(D28,Systeemgegevens!$J:$K,2,FALSE),IF(AND(D28="1/2 Congé + 1/2 synd.",((G28-F28)+(I28-H28)+(K28-J28)=0)),AC28,0))</f>
        <v>0</v>
      </c>
      <c r="AE28" s="43">
        <f>IF(AND(D28="Jour de pont",((G28-F28)+(I28-H28)+(K28-J28)=0)),VLOOKUP(D28,Systeemgegevens!$J:$K,2,FALSE),0)</f>
        <v>0</v>
      </c>
      <c r="AF28" s="43">
        <f>IF(AND(D28="Jour libre 4/5",AND((G28-F28)+(I28-H28)+(K28-J28)=0)),VLOOKUP(D28,Systeemgegevens!$J:$K,2,FALSE),0)</f>
        <v>0</v>
      </c>
      <c r="AG28" s="118">
        <f>IF(AND(D28&lt;&gt;"",SUM(AB28:AF28)=0,D28&lt;&gt;$AB$4,D28&lt;&gt;$AC$4,D28&lt;&gt;$AE$4,D28&lt;&gt;$AF$4),VLOOKUP(D28,Systeemgegevens!$J:$K,2,FALSE),0)</f>
        <v>0</v>
      </c>
      <c r="AH28" s="119">
        <f t="shared" si="6"/>
        <v>0</v>
      </c>
      <c r="AI28" s="101">
        <f t="shared" si="7"/>
        <v>0</v>
      </c>
      <c r="AJ28" s="118">
        <f t="shared" si="19"/>
        <v>0</v>
      </c>
      <c r="AK28" s="119">
        <f t="shared" si="8"/>
        <v>0</v>
      </c>
      <c r="AL28" s="101">
        <f t="shared" si="9"/>
        <v>0</v>
      </c>
      <c r="AM28" s="43">
        <f t="shared" si="20"/>
        <v>0</v>
      </c>
      <c r="AN28" s="118">
        <f t="shared" si="21"/>
        <v>0</v>
      </c>
      <c r="AO28" s="122">
        <f t="shared" si="10"/>
        <v>0</v>
      </c>
      <c r="AP28" s="107">
        <f t="shared" si="11"/>
        <v>0</v>
      </c>
      <c r="AQ28" s="107">
        <f t="shared" si="12"/>
        <v>0</v>
      </c>
      <c r="AR28" s="123">
        <f t="shared" si="13"/>
        <v>0</v>
      </c>
      <c r="AS28" s="124">
        <f t="shared" si="14"/>
        <v>0</v>
      </c>
      <c r="AT28" s="124">
        <f t="shared" si="15"/>
        <v>0</v>
      </c>
      <c r="AU28" s="124">
        <f t="shared" si="16"/>
        <v>0</v>
      </c>
      <c r="AV28" s="117" t="s">
        <v>17</v>
      </c>
      <c r="AW28" s="129">
        <f>IF(($R$41=AV28)*AND($R$42&lt;&gt;""),VLOOKUP($R$42,'Barèmes police'!$BJ$4:$BK$30,2),0)</f>
        <v>0</v>
      </c>
      <c r="AX28" s="16" t="str">
        <f>IF('Types de jours'!F34&lt;&gt;"",'Types de jours'!F34,"")</f>
        <v/>
      </c>
      <c r="AY28" s="144" t="str">
        <f>IF(AX28&lt;&gt;"",'Types de jours'!I34,"")</f>
        <v/>
      </c>
      <c r="AZ28" s="269"/>
      <c r="BA28" s="154"/>
      <c r="BB28" s="154"/>
      <c r="BC28" s="154"/>
      <c r="BD28" s="154"/>
      <c r="BE28" s="154"/>
      <c r="BF28" s="154"/>
    </row>
    <row r="29" spans="1:58" ht="12.75" customHeight="1" x14ac:dyDescent="0.2">
      <c r="A29" s="34"/>
      <c r="B29" s="24" t="str">
        <f t="shared" si="0"/>
        <v>Me</v>
      </c>
      <c r="C29" s="25">
        <f t="shared" si="22"/>
        <v>45434</v>
      </c>
      <c r="D29" s="51"/>
      <c r="E29" s="116"/>
      <c r="F29" s="52"/>
      <c r="G29" s="53"/>
      <c r="H29" s="54"/>
      <c r="I29" s="55"/>
      <c r="J29" s="54"/>
      <c r="K29" s="55"/>
      <c r="L29" s="40">
        <f t="shared" si="1"/>
        <v>0</v>
      </c>
      <c r="M29" s="41">
        <f t="shared" si="23"/>
        <v>1.2666666666666666</v>
      </c>
      <c r="N29" s="42">
        <f>IF(AND(D29&lt;&gt;"Jour libre 4/5",B29&lt;&gt;"Sa",B29&lt;&gt;"Di"),SUM(N28,Configuration!$H$41),SUM(N28))</f>
        <v>5.0666666666666647</v>
      </c>
      <c r="O29" s="49" t="str">
        <f t="shared" si="24"/>
        <v>-</v>
      </c>
      <c r="P29" s="143">
        <f t="shared" si="17"/>
        <v>3.799999999999998</v>
      </c>
      <c r="Q29" s="167">
        <f t="shared" si="18"/>
        <v>0</v>
      </c>
      <c r="R29" s="168">
        <f t="shared" si="18"/>
        <v>0</v>
      </c>
      <c r="S29" s="168">
        <f t="shared" si="18"/>
        <v>0</v>
      </c>
      <c r="T29" s="169">
        <f t="shared" si="18"/>
        <v>0</v>
      </c>
      <c r="U29" s="97">
        <f t="shared" si="2"/>
        <v>0</v>
      </c>
      <c r="V29" s="97">
        <f t="shared" si="3"/>
        <v>0</v>
      </c>
      <c r="W29" s="97">
        <f t="shared" si="4"/>
        <v>0</v>
      </c>
      <c r="X29" s="97">
        <f t="shared" si="5"/>
        <v>0</v>
      </c>
      <c r="Y29" s="209"/>
      <c r="Z29" s="210"/>
      <c r="AA29" s="210"/>
      <c r="AB29" s="128">
        <f>IF(AND(D29="Jour férié semaine",((G29-F29)+(I29-H29)+(K29-J29)=0)),VLOOKUP(D29,Systeemgegevens!$J:$K,2,FALSE),0)</f>
        <v>0</v>
      </c>
      <c r="AC29" s="43">
        <f>IF(AND(NOT(ISERROR(FIND("Congé",D29))),ISERROR(FIND("1/2",D29)),ISERROR(FIND("Synd",D29)),ISERROR(FIND("synd",D29)),(G29-F29+I29-H29+K29-J29)=0),VLOOKUP(D29,Systeemgegevens!$J:$K,2,FALSE),IF(AND(NOT(ISERROR(FIND("1/2 Congé + ",D29))),(G29-F29+I29-H29+K29-J29)=0),VLOOKUP(D29,Systeemgegevens!$J:$K,2,FALSE)/2,IF(AND(NOT(ISERROR(FIND("1/2 Congé",D29))),ISERROR(FIND(" + ",D29)),ISERROR(FIND("1/2 Congé Synd.",D29))),VLOOKUP(D29,Systeemgegevens!$J:$K,2,FALSE),0)))</f>
        <v>0</v>
      </c>
      <c r="AD29" s="43">
        <f>IF(AND(OR(D29="1/2 Congé Synd.",D29="Congé Synd."),((G29-F29)+(I29-H29)+(K29-J29)=0)),VLOOKUP(D29,Systeemgegevens!$J:$K,2,FALSE),IF(AND(D29="1/2 Congé + 1/2 synd.",((G29-F29)+(I29-H29)+(K29-J29)=0)),AC29,0))</f>
        <v>0</v>
      </c>
      <c r="AE29" s="43">
        <f>IF(AND(D29="Jour de pont",((G29-F29)+(I29-H29)+(K29-J29)=0)),VLOOKUP(D29,Systeemgegevens!$J:$K,2,FALSE),0)</f>
        <v>0</v>
      </c>
      <c r="AF29" s="43">
        <f>IF(AND(D29="Jour libre 4/5",AND((G29-F29)+(I29-H29)+(K29-J29)=0)),VLOOKUP(D29,Systeemgegevens!$J:$K,2,FALSE),0)</f>
        <v>0</v>
      </c>
      <c r="AG29" s="118">
        <f>IF(AND(D29&lt;&gt;"",SUM(AB29:AF29)=0,D29&lt;&gt;$AB$4,D29&lt;&gt;$AC$4,D29&lt;&gt;$AE$4,D29&lt;&gt;$AF$4),VLOOKUP(D29,Systeemgegevens!$J:$K,2,FALSE),0)</f>
        <v>0</v>
      </c>
      <c r="AH29" s="119">
        <f t="shared" si="6"/>
        <v>0</v>
      </c>
      <c r="AI29" s="101">
        <f t="shared" si="7"/>
        <v>0</v>
      </c>
      <c r="AJ29" s="118">
        <f t="shared" si="19"/>
        <v>0</v>
      </c>
      <c r="AK29" s="119">
        <f t="shared" si="8"/>
        <v>0</v>
      </c>
      <c r="AL29" s="101">
        <f t="shared" si="9"/>
        <v>0</v>
      </c>
      <c r="AM29" s="43">
        <f t="shared" si="20"/>
        <v>0</v>
      </c>
      <c r="AN29" s="118">
        <f t="shared" si="21"/>
        <v>0</v>
      </c>
      <c r="AO29" s="122">
        <f t="shared" si="10"/>
        <v>0</v>
      </c>
      <c r="AP29" s="107">
        <f t="shared" si="11"/>
        <v>0</v>
      </c>
      <c r="AQ29" s="107">
        <f t="shared" si="12"/>
        <v>0</v>
      </c>
      <c r="AR29" s="123">
        <f t="shared" si="13"/>
        <v>0</v>
      </c>
      <c r="AS29" s="124">
        <f t="shared" si="14"/>
        <v>0</v>
      </c>
      <c r="AT29" s="124">
        <f t="shared" si="15"/>
        <v>0</v>
      </c>
      <c r="AU29" s="124">
        <f t="shared" si="16"/>
        <v>0</v>
      </c>
      <c r="AV29" s="117" t="s">
        <v>16</v>
      </c>
      <c r="AW29" s="129">
        <f>IF(($R$41=AV29)*AND($R$42&lt;&gt;""),VLOOKUP($R$42,'Barèmes police'!$BM$4:$BN$30,2),0)</f>
        <v>0</v>
      </c>
      <c r="AX29" s="145" t="str">
        <f>IF('Types de jours'!F35&lt;&gt;"",'Types de jours'!F35,"")</f>
        <v/>
      </c>
      <c r="AY29" s="146" t="str">
        <f>IF(AX29&lt;&gt;"",'Types de jours'!I35,"")</f>
        <v/>
      </c>
      <c r="AZ29" s="269"/>
      <c r="BA29" s="154"/>
      <c r="BB29" s="154"/>
      <c r="BC29" s="154"/>
      <c r="BD29" s="154"/>
      <c r="BE29" s="154"/>
      <c r="BF29" s="154"/>
    </row>
    <row r="30" spans="1:58" ht="12.75" customHeight="1" x14ac:dyDescent="0.2">
      <c r="A30" s="34"/>
      <c r="B30" s="24" t="str">
        <f t="shared" si="0"/>
        <v>Je</v>
      </c>
      <c r="C30" s="25">
        <f t="shared" si="22"/>
        <v>45435</v>
      </c>
      <c r="D30" s="51"/>
      <c r="E30" s="116"/>
      <c r="F30" s="52"/>
      <c r="G30" s="53"/>
      <c r="H30" s="54"/>
      <c r="I30" s="55"/>
      <c r="J30" s="54"/>
      <c r="K30" s="55"/>
      <c r="L30" s="40">
        <f t="shared" si="1"/>
        <v>0</v>
      </c>
      <c r="M30" s="41">
        <f t="shared" si="23"/>
        <v>1.2666666666666666</v>
      </c>
      <c r="N30" s="42">
        <f>IF(AND(D30&lt;&gt;"Jour libre 4/5",B30&lt;&gt;"Sa",B30&lt;&gt;"Di"),SUM(N29,Configuration!$H$41),SUM(N29))</f>
        <v>5.3833333333333311</v>
      </c>
      <c r="O30" s="49" t="str">
        <f t="shared" si="24"/>
        <v>-</v>
      </c>
      <c r="P30" s="143">
        <f t="shared" si="17"/>
        <v>4.1166666666666645</v>
      </c>
      <c r="Q30" s="167">
        <f t="shared" si="18"/>
        <v>0</v>
      </c>
      <c r="R30" s="168">
        <f t="shared" si="18"/>
        <v>0</v>
      </c>
      <c r="S30" s="168">
        <f t="shared" si="18"/>
        <v>0</v>
      </c>
      <c r="T30" s="169">
        <f t="shared" si="18"/>
        <v>0</v>
      </c>
      <c r="U30" s="97">
        <f t="shared" si="2"/>
        <v>0</v>
      </c>
      <c r="V30" s="97">
        <f t="shared" si="3"/>
        <v>0</v>
      </c>
      <c r="W30" s="97">
        <f t="shared" si="4"/>
        <v>0</v>
      </c>
      <c r="X30" s="97">
        <f t="shared" si="5"/>
        <v>0</v>
      </c>
      <c r="Y30" s="209"/>
      <c r="Z30" s="210"/>
      <c r="AA30" s="210"/>
      <c r="AB30" s="128">
        <f>IF(AND(D30="Jour férié semaine",((G30-F30)+(I30-H30)+(K30-J30)=0)),VLOOKUP(D30,Systeemgegevens!$J:$K,2,FALSE),0)</f>
        <v>0</v>
      </c>
      <c r="AC30" s="43">
        <f>IF(AND(NOT(ISERROR(FIND("Congé",D30))),ISERROR(FIND("1/2",D30)),ISERROR(FIND("Synd",D30)),ISERROR(FIND("synd",D30)),(G30-F30+I30-H30+K30-J30)=0),VLOOKUP(D30,Systeemgegevens!$J:$K,2,FALSE),IF(AND(NOT(ISERROR(FIND("1/2 Congé + ",D30))),(G30-F30+I30-H30+K30-J30)=0),VLOOKUP(D30,Systeemgegevens!$J:$K,2,FALSE)/2,IF(AND(NOT(ISERROR(FIND("1/2 Congé",D30))),ISERROR(FIND(" + ",D30)),ISERROR(FIND("1/2 Congé Synd.",D30))),VLOOKUP(D30,Systeemgegevens!$J:$K,2,FALSE),0)))</f>
        <v>0</v>
      </c>
      <c r="AD30" s="43">
        <f>IF(AND(OR(D30="1/2 Congé Synd.",D30="Congé Synd."),((G30-F30)+(I30-H30)+(K30-J30)=0)),VLOOKUP(D30,Systeemgegevens!$J:$K,2,FALSE),IF(AND(D30="1/2 Congé + 1/2 synd.",((G30-F30)+(I30-H30)+(K30-J30)=0)),AC30,0))</f>
        <v>0</v>
      </c>
      <c r="AE30" s="43">
        <f>IF(AND(D30="Jour de pont",((G30-F30)+(I30-H30)+(K30-J30)=0)),VLOOKUP(D30,Systeemgegevens!$J:$K,2,FALSE),0)</f>
        <v>0</v>
      </c>
      <c r="AF30" s="43">
        <f>IF(AND(D30="Jour libre 4/5",AND((G30-F30)+(I30-H30)+(K30-J30)=0)),VLOOKUP(D30,Systeemgegevens!$J:$K,2,FALSE),0)</f>
        <v>0</v>
      </c>
      <c r="AG30" s="118">
        <f>IF(AND(D30&lt;&gt;"",SUM(AB30:AF30)=0,D30&lt;&gt;$AB$4,D30&lt;&gt;$AC$4,D30&lt;&gt;$AE$4,D30&lt;&gt;$AF$4),VLOOKUP(D30,Systeemgegevens!$J:$K,2,FALSE),0)</f>
        <v>0</v>
      </c>
      <c r="AH30" s="119">
        <f t="shared" si="6"/>
        <v>0</v>
      </c>
      <c r="AI30" s="101">
        <f t="shared" si="7"/>
        <v>0</v>
      </c>
      <c r="AJ30" s="118">
        <f t="shared" si="19"/>
        <v>0</v>
      </c>
      <c r="AK30" s="119">
        <f t="shared" si="8"/>
        <v>0</v>
      </c>
      <c r="AL30" s="101">
        <f t="shared" si="9"/>
        <v>0</v>
      </c>
      <c r="AM30" s="43">
        <f t="shared" si="20"/>
        <v>0</v>
      </c>
      <c r="AN30" s="118">
        <f t="shared" si="21"/>
        <v>0</v>
      </c>
      <c r="AO30" s="122">
        <f t="shared" si="10"/>
        <v>0</v>
      </c>
      <c r="AP30" s="107">
        <f t="shared" si="11"/>
        <v>0</v>
      </c>
      <c r="AQ30" s="107">
        <f t="shared" si="12"/>
        <v>0</v>
      </c>
      <c r="AR30" s="123">
        <f t="shared" si="13"/>
        <v>0</v>
      </c>
      <c r="AS30" s="124">
        <f t="shared" si="14"/>
        <v>0</v>
      </c>
      <c r="AT30" s="124">
        <f t="shared" si="15"/>
        <v>0</v>
      </c>
      <c r="AU30" s="124">
        <f t="shared" si="16"/>
        <v>0</v>
      </c>
      <c r="AV30" s="117" t="s">
        <v>14</v>
      </c>
      <c r="AW30" s="129">
        <f>IF(($R$41=AV30)*AND($R$42&lt;&gt;""),VLOOKUP($R$42,'Barèmes police'!$B$40:$C$66,2),0)</f>
        <v>0</v>
      </c>
      <c r="AX30" s="129"/>
      <c r="AY30" s="129"/>
      <c r="AZ30" s="154"/>
      <c r="BA30" s="154"/>
      <c r="BB30" s="154"/>
      <c r="BC30" s="154"/>
      <c r="BD30" s="154"/>
      <c r="BE30" s="154"/>
      <c r="BF30" s="154"/>
    </row>
    <row r="31" spans="1:58" ht="12.75" customHeight="1" x14ac:dyDescent="0.2">
      <c r="A31" s="34"/>
      <c r="B31" s="24" t="str">
        <f t="shared" si="0"/>
        <v>Ve</v>
      </c>
      <c r="C31" s="25">
        <f t="shared" si="22"/>
        <v>45436</v>
      </c>
      <c r="D31" s="51"/>
      <c r="E31" s="116"/>
      <c r="F31" s="52"/>
      <c r="G31" s="53"/>
      <c r="H31" s="52"/>
      <c r="I31" s="53"/>
      <c r="J31" s="54"/>
      <c r="K31" s="55"/>
      <c r="L31" s="40">
        <f t="shared" si="1"/>
        <v>0</v>
      </c>
      <c r="M31" s="41">
        <f t="shared" si="23"/>
        <v>1.2666666666666666</v>
      </c>
      <c r="N31" s="42">
        <f>IF(AND(D31&lt;&gt;"Jour libre 4/5",B31&lt;&gt;"Sa",B31&lt;&gt;"Di"),SUM(N30,Configuration!$H$41),SUM(N30))</f>
        <v>5.6999999999999975</v>
      </c>
      <c r="O31" s="49" t="str">
        <f t="shared" si="24"/>
        <v>-</v>
      </c>
      <c r="P31" s="143">
        <f t="shared" si="17"/>
        <v>4.4333333333333309</v>
      </c>
      <c r="Q31" s="167">
        <f t="shared" si="18"/>
        <v>0</v>
      </c>
      <c r="R31" s="168">
        <f t="shared" si="18"/>
        <v>0</v>
      </c>
      <c r="S31" s="168">
        <f t="shared" si="18"/>
        <v>0</v>
      </c>
      <c r="T31" s="169">
        <f t="shared" si="18"/>
        <v>0</v>
      </c>
      <c r="U31" s="97">
        <f t="shared" si="2"/>
        <v>0</v>
      </c>
      <c r="V31" s="97">
        <f t="shared" si="3"/>
        <v>0</v>
      </c>
      <c r="W31" s="97">
        <f t="shared" si="4"/>
        <v>0</v>
      </c>
      <c r="X31" s="97">
        <f t="shared" si="5"/>
        <v>0</v>
      </c>
      <c r="Y31" s="209"/>
      <c r="Z31" s="210"/>
      <c r="AA31" s="210"/>
      <c r="AB31" s="128">
        <f>IF(AND(D31="Jour férié semaine",((G31-F31)+(I31-H31)+(K31-J31)=0)),VLOOKUP(D31,Systeemgegevens!$J:$K,2,FALSE),0)</f>
        <v>0</v>
      </c>
      <c r="AC31" s="43">
        <f>IF(AND(NOT(ISERROR(FIND("Congé",D31))),ISERROR(FIND("1/2",D31)),ISERROR(FIND("Synd",D31)),ISERROR(FIND("synd",D31)),(G31-F31+I31-H31+K31-J31)=0),VLOOKUP(D31,Systeemgegevens!$J:$K,2,FALSE),IF(AND(NOT(ISERROR(FIND("1/2 Congé + ",D31))),(G31-F31+I31-H31+K31-J31)=0),VLOOKUP(D31,Systeemgegevens!$J:$K,2,FALSE)/2,IF(AND(NOT(ISERROR(FIND("1/2 Congé",D31))),ISERROR(FIND(" + ",D31)),ISERROR(FIND("1/2 Congé Synd.",D31))),VLOOKUP(D31,Systeemgegevens!$J:$K,2,FALSE),0)))</f>
        <v>0</v>
      </c>
      <c r="AD31" s="43">
        <f>IF(AND(OR(D31="1/2 Congé Synd.",D31="Congé Synd."),((G31-F31)+(I31-H31)+(K31-J31)=0)),VLOOKUP(D31,Systeemgegevens!$J:$K,2,FALSE),IF(AND(D31="1/2 Congé + 1/2 synd.",((G31-F31)+(I31-H31)+(K31-J31)=0)),AC31,0))</f>
        <v>0</v>
      </c>
      <c r="AE31" s="43">
        <f>IF(AND(D31="Jour de pont",((G31-F31)+(I31-H31)+(K31-J31)=0)),VLOOKUP(D31,Systeemgegevens!$J:$K,2,FALSE),0)</f>
        <v>0</v>
      </c>
      <c r="AF31" s="43">
        <f>IF(AND(D31="Jour libre 4/5",AND((G31-F31)+(I31-H31)+(K31-J31)=0)),VLOOKUP(D31,Systeemgegevens!$J:$K,2,FALSE),0)</f>
        <v>0</v>
      </c>
      <c r="AG31" s="118">
        <f>IF(AND(D31&lt;&gt;"",SUM(AB31:AF31)=0,D31&lt;&gt;$AB$4,D31&lt;&gt;$AC$4,D31&lt;&gt;$AE$4,D31&lt;&gt;$AF$4),VLOOKUP(D31,Systeemgegevens!$J:$K,2,FALSE),0)</f>
        <v>0</v>
      </c>
      <c r="AH31" s="119">
        <f t="shared" si="6"/>
        <v>0</v>
      </c>
      <c r="AI31" s="101">
        <f t="shared" si="7"/>
        <v>0</v>
      </c>
      <c r="AJ31" s="118">
        <f t="shared" si="19"/>
        <v>0</v>
      </c>
      <c r="AK31" s="119">
        <f t="shared" si="8"/>
        <v>0</v>
      </c>
      <c r="AL31" s="101">
        <f t="shared" si="9"/>
        <v>0</v>
      </c>
      <c r="AM31" s="43">
        <f t="shared" si="20"/>
        <v>0</v>
      </c>
      <c r="AN31" s="118">
        <f t="shared" si="21"/>
        <v>0</v>
      </c>
      <c r="AO31" s="122">
        <f t="shared" si="10"/>
        <v>0</v>
      </c>
      <c r="AP31" s="107">
        <f t="shared" si="11"/>
        <v>0</v>
      </c>
      <c r="AQ31" s="107">
        <f t="shared" si="12"/>
        <v>0</v>
      </c>
      <c r="AR31" s="123">
        <f t="shared" si="13"/>
        <v>0</v>
      </c>
      <c r="AS31" s="124">
        <f t="shared" si="14"/>
        <v>0</v>
      </c>
      <c r="AT31" s="124">
        <f t="shared" si="15"/>
        <v>0</v>
      </c>
      <c r="AU31" s="124">
        <f t="shared" si="16"/>
        <v>0</v>
      </c>
      <c r="AV31" s="117" t="s">
        <v>13</v>
      </c>
      <c r="AW31" s="129">
        <f>IF(($R$41=AV31)*AND($R$42&lt;&gt;""),VLOOKUP($R$42,'Barèmes police'!$E$40:$F$66,2),0)</f>
        <v>0</v>
      </c>
      <c r="AX31" s="129"/>
      <c r="AY31" s="129"/>
      <c r="AZ31" s="154"/>
      <c r="BA31" s="154"/>
      <c r="BB31" s="154"/>
      <c r="BC31" s="154"/>
      <c r="BD31" s="154"/>
      <c r="BE31" s="154"/>
      <c r="BF31" s="154"/>
    </row>
    <row r="32" spans="1:58" ht="12.75" customHeight="1" x14ac:dyDescent="0.2">
      <c r="A32" s="34"/>
      <c r="B32" s="24" t="str">
        <f t="shared" si="0"/>
        <v>Sa</v>
      </c>
      <c r="C32" s="25">
        <f t="shared" si="22"/>
        <v>45437</v>
      </c>
      <c r="D32" s="51"/>
      <c r="E32" s="116"/>
      <c r="F32" s="52"/>
      <c r="G32" s="53"/>
      <c r="H32" s="52"/>
      <c r="I32" s="53"/>
      <c r="J32" s="54"/>
      <c r="K32" s="55"/>
      <c r="L32" s="40">
        <f t="shared" si="1"/>
        <v>0</v>
      </c>
      <c r="M32" s="41">
        <f t="shared" si="23"/>
        <v>1.2666666666666666</v>
      </c>
      <c r="N32" s="42">
        <f>IF(AND(D32&lt;&gt;"Jour libre 4/5",B32&lt;&gt;"Sa",B32&lt;&gt;"Di"),SUM(N31,Configuration!$H$41),SUM(N31))</f>
        <v>5.6999999999999975</v>
      </c>
      <c r="O32" s="49" t="str">
        <f t="shared" si="24"/>
        <v>-</v>
      </c>
      <c r="P32" s="143">
        <f t="shared" si="17"/>
        <v>4.4333333333333309</v>
      </c>
      <c r="Q32" s="167">
        <f t="shared" si="18"/>
        <v>0</v>
      </c>
      <c r="R32" s="168">
        <f t="shared" si="18"/>
        <v>0</v>
      </c>
      <c r="S32" s="168">
        <f t="shared" si="18"/>
        <v>0</v>
      </c>
      <c r="T32" s="169">
        <f t="shared" si="18"/>
        <v>0</v>
      </c>
      <c r="U32" s="97">
        <f t="shared" si="2"/>
        <v>0</v>
      </c>
      <c r="V32" s="97">
        <f t="shared" si="3"/>
        <v>0</v>
      </c>
      <c r="W32" s="97">
        <f t="shared" si="4"/>
        <v>0</v>
      </c>
      <c r="X32" s="97">
        <f t="shared" si="5"/>
        <v>0</v>
      </c>
      <c r="Y32" s="209"/>
      <c r="Z32" s="210"/>
      <c r="AA32" s="210"/>
      <c r="AB32" s="128">
        <f>IF(AND(D32="Jour férié semaine",((G32-F32)+(I32-H32)+(K32-J32)=0)),VLOOKUP(D32,Systeemgegevens!$J:$K,2,FALSE),0)</f>
        <v>0</v>
      </c>
      <c r="AC32" s="43">
        <f>IF(AND(NOT(ISERROR(FIND("Congé",D32))),ISERROR(FIND("1/2",D32)),ISERROR(FIND("Synd",D32)),ISERROR(FIND("synd",D32)),(G32-F32+I32-H32+K32-J32)=0),VLOOKUP(D32,Systeemgegevens!$J:$K,2,FALSE),IF(AND(NOT(ISERROR(FIND("1/2 Congé + ",D32))),(G32-F32+I32-H32+K32-J32)=0),VLOOKUP(D32,Systeemgegevens!$J:$K,2,FALSE)/2,IF(AND(NOT(ISERROR(FIND("1/2 Congé",D32))),ISERROR(FIND(" + ",D32)),ISERROR(FIND("1/2 Congé Synd.",D32))),VLOOKUP(D32,Systeemgegevens!$J:$K,2,FALSE),0)))</f>
        <v>0</v>
      </c>
      <c r="AD32" s="43">
        <f>IF(AND(OR(D32="1/2 Congé Synd.",D32="Congé Synd."),((G32-F32)+(I32-H32)+(K32-J32)=0)),VLOOKUP(D32,Systeemgegevens!$J:$K,2,FALSE),IF(AND(D32="1/2 Congé + 1/2 synd.",((G32-F32)+(I32-H32)+(K32-J32)=0)),AC32,0))</f>
        <v>0</v>
      </c>
      <c r="AE32" s="43">
        <f>IF(AND(D32="Jour de pont",((G32-F32)+(I32-H32)+(K32-J32)=0)),VLOOKUP(D32,Systeemgegevens!$J:$K,2,FALSE),0)</f>
        <v>0</v>
      </c>
      <c r="AF32" s="43">
        <f>IF(AND(D32="Jour libre 4/5",AND((G32-F32)+(I32-H32)+(K32-J32)=0)),VLOOKUP(D32,Systeemgegevens!$J:$K,2,FALSE),0)</f>
        <v>0</v>
      </c>
      <c r="AG32" s="118">
        <f>IF(AND(D32&lt;&gt;"",SUM(AB32:AF32)=0,D32&lt;&gt;$AB$4,D32&lt;&gt;$AC$4,D32&lt;&gt;$AE$4,D32&lt;&gt;$AF$4),VLOOKUP(D32,Systeemgegevens!$J:$K,2,FALSE),0)</f>
        <v>0</v>
      </c>
      <c r="AH32" s="119">
        <f t="shared" si="6"/>
        <v>0</v>
      </c>
      <c r="AI32" s="101">
        <f t="shared" si="7"/>
        <v>0</v>
      </c>
      <c r="AJ32" s="118">
        <f t="shared" si="19"/>
        <v>0</v>
      </c>
      <c r="AK32" s="119">
        <f t="shared" si="8"/>
        <v>0</v>
      </c>
      <c r="AL32" s="101">
        <f t="shared" si="9"/>
        <v>0</v>
      </c>
      <c r="AM32" s="43">
        <f t="shared" si="20"/>
        <v>0</v>
      </c>
      <c r="AN32" s="118">
        <f t="shared" si="21"/>
        <v>0</v>
      </c>
      <c r="AO32" s="122">
        <f t="shared" si="10"/>
        <v>0</v>
      </c>
      <c r="AP32" s="107">
        <f t="shared" si="11"/>
        <v>0</v>
      </c>
      <c r="AQ32" s="107">
        <f t="shared" si="12"/>
        <v>0</v>
      </c>
      <c r="AR32" s="123">
        <f t="shared" si="13"/>
        <v>0</v>
      </c>
      <c r="AS32" s="124">
        <f t="shared" si="14"/>
        <v>0</v>
      </c>
      <c r="AT32" s="124">
        <f t="shared" si="15"/>
        <v>0</v>
      </c>
      <c r="AU32" s="124">
        <f t="shared" si="16"/>
        <v>0</v>
      </c>
      <c r="AV32" s="117" t="s">
        <v>7</v>
      </c>
      <c r="AW32" s="129">
        <f>IF(($R$41=AV32)*AND($R$42&lt;&gt;""),VLOOKUP($R$42,'Barèmes police'!$AC$40:$AD$66,2),0)</f>
        <v>0</v>
      </c>
      <c r="AX32" s="129"/>
      <c r="AY32" s="129"/>
      <c r="AZ32" s="154"/>
      <c r="BA32" s="154"/>
      <c r="BB32" s="154"/>
      <c r="BC32" s="154"/>
      <c r="BD32" s="154"/>
      <c r="BE32" s="154"/>
      <c r="BF32" s="154"/>
    </row>
    <row r="33" spans="1:58" ht="12.75" customHeight="1" x14ac:dyDescent="0.2">
      <c r="A33" s="34"/>
      <c r="B33" s="24" t="str">
        <f t="shared" si="0"/>
        <v>Di</v>
      </c>
      <c r="C33" s="25">
        <f t="shared" si="22"/>
        <v>45438</v>
      </c>
      <c r="D33" s="51"/>
      <c r="E33" s="116"/>
      <c r="F33" s="52"/>
      <c r="G33" s="53"/>
      <c r="H33" s="54"/>
      <c r="I33" s="55"/>
      <c r="J33" s="54"/>
      <c r="K33" s="55"/>
      <c r="L33" s="40">
        <f t="shared" si="1"/>
        <v>0</v>
      </c>
      <c r="M33" s="41">
        <f t="shared" si="23"/>
        <v>1.2666666666666666</v>
      </c>
      <c r="N33" s="42">
        <f>IF(AND(D33&lt;&gt;"Jour libre 4/5",B33&lt;&gt;"Sa",B33&lt;&gt;"Di"),SUM(N32,Configuration!$H$41),SUM(N32))</f>
        <v>5.6999999999999975</v>
      </c>
      <c r="O33" s="49" t="str">
        <f t="shared" si="24"/>
        <v>-</v>
      </c>
      <c r="P33" s="143">
        <f t="shared" si="17"/>
        <v>4.4333333333333309</v>
      </c>
      <c r="Q33" s="167">
        <f t="shared" si="18"/>
        <v>0</v>
      </c>
      <c r="R33" s="168">
        <f t="shared" si="18"/>
        <v>0</v>
      </c>
      <c r="S33" s="168">
        <f t="shared" si="18"/>
        <v>0</v>
      </c>
      <c r="T33" s="169">
        <f t="shared" si="18"/>
        <v>0</v>
      </c>
      <c r="U33" s="97">
        <f t="shared" si="2"/>
        <v>0</v>
      </c>
      <c r="V33" s="97">
        <f t="shared" si="3"/>
        <v>0</v>
      </c>
      <c r="W33" s="97">
        <f t="shared" si="4"/>
        <v>0</v>
      </c>
      <c r="X33" s="97">
        <f t="shared" si="5"/>
        <v>0</v>
      </c>
      <c r="Y33" s="209"/>
      <c r="Z33" s="210"/>
      <c r="AA33" s="210"/>
      <c r="AB33" s="128">
        <f>IF(AND(D33="Jour férié semaine",((G33-F33)+(I33-H33)+(K33-J33)=0)),VLOOKUP(D33,Systeemgegevens!$J:$K,2,FALSE),0)</f>
        <v>0</v>
      </c>
      <c r="AC33" s="43">
        <f>IF(AND(NOT(ISERROR(FIND("Congé",D33))),ISERROR(FIND("1/2",D33)),ISERROR(FIND("Synd",D33)),ISERROR(FIND("synd",D33)),(G33-F33+I33-H33+K33-J33)=0),VLOOKUP(D33,Systeemgegevens!$J:$K,2,FALSE),IF(AND(NOT(ISERROR(FIND("1/2 Congé + ",D33))),(G33-F33+I33-H33+K33-J33)=0),VLOOKUP(D33,Systeemgegevens!$J:$K,2,FALSE)/2,IF(AND(NOT(ISERROR(FIND("1/2 Congé",D33))),ISERROR(FIND(" + ",D33)),ISERROR(FIND("1/2 Congé Synd.",D33))),VLOOKUP(D33,Systeemgegevens!$J:$K,2,FALSE),0)))</f>
        <v>0</v>
      </c>
      <c r="AD33" s="43">
        <f>IF(AND(OR(D33="1/2 Congé Synd.",D33="Congé Synd."),((G33-F33)+(I33-H33)+(K33-J33)=0)),VLOOKUP(D33,Systeemgegevens!$J:$K,2,FALSE),IF(AND(D33="1/2 Congé + 1/2 synd.",((G33-F33)+(I33-H33)+(K33-J33)=0)),AC33,0))</f>
        <v>0</v>
      </c>
      <c r="AE33" s="43">
        <f>IF(AND(D33="Jour de pont",((G33-F33)+(I33-H33)+(K33-J33)=0)),VLOOKUP(D33,Systeemgegevens!$J:$K,2,FALSE),0)</f>
        <v>0</v>
      </c>
      <c r="AF33" s="43">
        <f>IF(AND(D33="Jour libre 4/5",AND((G33-F33)+(I33-H33)+(K33-J33)=0)),VLOOKUP(D33,Systeemgegevens!$J:$K,2,FALSE),0)</f>
        <v>0</v>
      </c>
      <c r="AG33" s="118">
        <f>IF(AND(D33&lt;&gt;"",SUM(AB33:AF33)=0,D33&lt;&gt;$AB$4,D33&lt;&gt;$AC$4,D33&lt;&gt;$AE$4,D33&lt;&gt;$AF$4),VLOOKUP(D33,Systeemgegevens!$J:$K,2,FALSE),0)</f>
        <v>0</v>
      </c>
      <c r="AH33" s="119">
        <f t="shared" si="6"/>
        <v>0</v>
      </c>
      <c r="AI33" s="101">
        <f t="shared" si="7"/>
        <v>0</v>
      </c>
      <c r="AJ33" s="118">
        <f t="shared" si="19"/>
        <v>0</v>
      </c>
      <c r="AK33" s="119">
        <f t="shared" si="8"/>
        <v>0</v>
      </c>
      <c r="AL33" s="101">
        <f t="shared" si="9"/>
        <v>0</v>
      </c>
      <c r="AM33" s="43">
        <f t="shared" si="20"/>
        <v>0</v>
      </c>
      <c r="AN33" s="118">
        <f t="shared" si="21"/>
        <v>0</v>
      </c>
      <c r="AO33" s="122">
        <f t="shared" si="10"/>
        <v>0</v>
      </c>
      <c r="AP33" s="107">
        <f t="shared" si="11"/>
        <v>0</v>
      </c>
      <c r="AQ33" s="107">
        <f t="shared" si="12"/>
        <v>0</v>
      </c>
      <c r="AR33" s="123">
        <f t="shared" si="13"/>
        <v>0</v>
      </c>
      <c r="AS33" s="124">
        <f t="shared" si="14"/>
        <v>0</v>
      </c>
      <c r="AT33" s="124">
        <f t="shared" si="15"/>
        <v>0</v>
      </c>
      <c r="AU33" s="124">
        <f t="shared" si="16"/>
        <v>0</v>
      </c>
      <c r="AV33" s="117" t="s">
        <v>12</v>
      </c>
      <c r="AW33" s="129">
        <f>IF(($R$41=AV33)*AND($R$42&lt;&gt;""),VLOOKUP($R$42,'Barèmes police'!$H$40:$I$66,2),0)</f>
        <v>0</v>
      </c>
      <c r="AX33" s="129"/>
      <c r="AY33" s="129"/>
      <c r="AZ33" s="154"/>
      <c r="BA33" s="154"/>
      <c r="BB33" s="154"/>
      <c r="BC33" s="154"/>
      <c r="BD33" s="154"/>
      <c r="BE33" s="154"/>
      <c r="BF33" s="154"/>
    </row>
    <row r="34" spans="1:58" ht="12.75" customHeight="1" x14ac:dyDescent="0.2">
      <c r="A34" s="34"/>
      <c r="B34" s="24" t="str">
        <f t="shared" si="0"/>
        <v>Lu</v>
      </c>
      <c r="C34" s="25">
        <f t="shared" si="22"/>
        <v>45439</v>
      </c>
      <c r="D34" s="51"/>
      <c r="E34" s="116"/>
      <c r="F34" s="52"/>
      <c r="G34" s="53"/>
      <c r="H34" s="54"/>
      <c r="I34" s="55"/>
      <c r="J34" s="54"/>
      <c r="K34" s="55"/>
      <c r="L34" s="40">
        <f t="shared" si="1"/>
        <v>0</v>
      </c>
      <c r="M34" s="41">
        <f t="shared" si="23"/>
        <v>1.2666666666666666</v>
      </c>
      <c r="N34" s="42">
        <f>IF(AND(D34&lt;&gt;"Jour libre 4/5",B34&lt;&gt;"Sa",B34&lt;&gt;"Di"),SUM(N33,Configuration!$H$41),SUM(N33))</f>
        <v>6.0166666666666639</v>
      </c>
      <c r="O34" s="49" t="str">
        <f t="shared" si="24"/>
        <v>-</v>
      </c>
      <c r="P34" s="143">
        <f t="shared" si="17"/>
        <v>4.7499999999999973</v>
      </c>
      <c r="Q34" s="167">
        <f t="shared" si="18"/>
        <v>0</v>
      </c>
      <c r="R34" s="168">
        <f t="shared" si="18"/>
        <v>0</v>
      </c>
      <c r="S34" s="168">
        <f t="shared" si="18"/>
        <v>0</v>
      </c>
      <c r="T34" s="169">
        <f t="shared" si="18"/>
        <v>0</v>
      </c>
      <c r="U34" s="97">
        <f t="shared" si="2"/>
        <v>0</v>
      </c>
      <c r="V34" s="97">
        <f t="shared" si="3"/>
        <v>0</v>
      </c>
      <c r="W34" s="97">
        <f t="shared" si="4"/>
        <v>0</v>
      </c>
      <c r="X34" s="97">
        <f t="shared" si="5"/>
        <v>0</v>
      </c>
      <c r="Y34" s="209"/>
      <c r="Z34" s="210"/>
      <c r="AA34" s="210"/>
      <c r="AB34" s="128">
        <f>IF(AND(D34="Jour férié semaine",((G34-F34)+(I34-H34)+(K34-J34)=0)),VLOOKUP(D34,Systeemgegevens!$J:$K,2,FALSE),0)</f>
        <v>0</v>
      </c>
      <c r="AC34" s="43">
        <f>IF(AND(NOT(ISERROR(FIND("Congé",D34))),ISERROR(FIND("1/2",D34)),ISERROR(FIND("Synd",D34)),ISERROR(FIND("synd",D34)),(G34-F34+I34-H34+K34-J34)=0),VLOOKUP(D34,Systeemgegevens!$J:$K,2,FALSE),IF(AND(NOT(ISERROR(FIND("1/2 Congé + ",D34))),(G34-F34+I34-H34+K34-J34)=0),VLOOKUP(D34,Systeemgegevens!$J:$K,2,FALSE)/2,IF(AND(NOT(ISERROR(FIND("1/2 Congé",D34))),ISERROR(FIND(" + ",D34)),ISERROR(FIND("1/2 Congé Synd.",D34))),VLOOKUP(D34,Systeemgegevens!$J:$K,2,FALSE),0)))</f>
        <v>0</v>
      </c>
      <c r="AD34" s="43">
        <f>IF(AND(OR(D34="1/2 Congé Synd.",D34="Congé Synd."),((G34-F34)+(I34-H34)+(K34-J34)=0)),VLOOKUP(D34,Systeemgegevens!$J:$K,2,FALSE),IF(AND(D34="1/2 Congé + 1/2 synd.",((G34-F34)+(I34-H34)+(K34-J34)=0)),AC34,0))</f>
        <v>0</v>
      </c>
      <c r="AE34" s="43">
        <f>IF(AND(D34="Jour de pont",((G34-F34)+(I34-H34)+(K34-J34)=0)),VLOOKUP(D34,Systeemgegevens!$J:$K,2,FALSE),0)</f>
        <v>0</v>
      </c>
      <c r="AF34" s="43">
        <f>IF(AND(D34="Jour libre 4/5",AND((G34-F34)+(I34-H34)+(K34-J34)=0)),VLOOKUP(D34,Systeemgegevens!$J:$K,2,FALSE),0)</f>
        <v>0</v>
      </c>
      <c r="AG34" s="118">
        <f>IF(AND(D34&lt;&gt;"",SUM(AB34:AF34)=0,D34&lt;&gt;$AB$4,D34&lt;&gt;$AC$4,D34&lt;&gt;$AE$4,D34&lt;&gt;$AF$4),VLOOKUP(D34,Systeemgegevens!$J:$K,2,FALSE),0)</f>
        <v>0</v>
      </c>
      <c r="AH34" s="119">
        <f t="shared" si="6"/>
        <v>0</v>
      </c>
      <c r="AI34" s="101">
        <f t="shared" si="7"/>
        <v>0</v>
      </c>
      <c r="AJ34" s="118">
        <f t="shared" si="19"/>
        <v>0</v>
      </c>
      <c r="AK34" s="119">
        <f t="shared" si="8"/>
        <v>0</v>
      </c>
      <c r="AL34" s="101">
        <f t="shared" si="9"/>
        <v>0</v>
      </c>
      <c r="AM34" s="43">
        <f t="shared" si="20"/>
        <v>0</v>
      </c>
      <c r="AN34" s="118">
        <f t="shared" si="21"/>
        <v>0</v>
      </c>
      <c r="AO34" s="122">
        <f t="shared" si="10"/>
        <v>0</v>
      </c>
      <c r="AP34" s="107">
        <f t="shared" si="11"/>
        <v>0</v>
      </c>
      <c r="AQ34" s="107">
        <f t="shared" si="12"/>
        <v>0</v>
      </c>
      <c r="AR34" s="123">
        <f t="shared" si="13"/>
        <v>0</v>
      </c>
      <c r="AS34" s="124">
        <f t="shared" si="14"/>
        <v>0</v>
      </c>
      <c r="AT34" s="124">
        <f t="shared" si="15"/>
        <v>0</v>
      </c>
      <c r="AU34" s="124">
        <f t="shared" si="16"/>
        <v>0</v>
      </c>
      <c r="AV34" s="117" t="s">
        <v>6</v>
      </c>
      <c r="AW34" s="129">
        <f>IF(($R$41=AV34)*AND($R$42&lt;&gt;""),VLOOKUP($R$42,'Barèmes police'!$AF$40:$AG$66,2),0)</f>
        <v>0</v>
      </c>
      <c r="AX34" s="129"/>
      <c r="AY34" s="129"/>
      <c r="AZ34" s="154"/>
      <c r="BA34" s="154"/>
      <c r="BB34" s="154"/>
      <c r="BC34" s="154"/>
      <c r="BD34" s="154"/>
      <c r="BE34" s="154"/>
      <c r="BF34" s="154"/>
    </row>
    <row r="35" spans="1:58" ht="12.75" customHeight="1" x14ac:dyDescent="0.2">
      <c r="A35" s="34"/>
      <c r="B35" s="24" t="str">
        <f t="shared" si="0"/>
        <v>Ma</v>
      </c>
      <c r="C35" s="25">
        <f t="shared" si="22"/>
        <v>45440</v>
      </c>
      <c r="D35" s="51"/>
      <c r="E35" s="116"/>
      <c r="F35" s="52"/>
      <c r="G35" s="53"/>
      <c r="H35" s="54"/>
      <c r="I35" s="55"/>
      <c r="J35" s="54"/>
      <c r="K35" s="55"/>
      <c r="L35" s="40">
        <f t="shared" si="1"/>
        <v>0</v>
      </c>
      <c r="M35" s="41">
        <f t="shared" si="23"/>
        <v>1.2666666666666666</v>
      </c>
      <c r="N35" s="42">
        <f>IF(AND(D35&lt;&gt;"Jour libre 4/5",B35&lt;&gt;"Sa",B35&lt;&gt;"Di"),SUM(N34,Configuration!$H$41),SUM(N34))</f>
        <v>6.3333333333333304</v>
      </c>
      <c r="O35" s="49" t="str">
        <f t="shared" si="24"/>
        <v>-</v>
      </c>
      <c r="P35" s="143">
        <f t="shared" si="17"/>
        <v>5.0666666666666638</v>
      </c>
      <c r="Q35" s="167">
        <f t="shared" si="18"/>
        <v>0</v>
      </c>
      <c r="R35" s="168">
        <f t="shared" si="18"/>
        <v>0</v>
      </c>
      <c r="S35" s="168">
        <f t="shared" si="18"/>
        <v>0</v>
      </c>
      <c r="T35" s="169">
        <f t="shared" si="18"/>
        <v>0</v>
      </c>
      <c r="U35" s="97">
        <f t="shared" si="2"/>
        <v>0</v>
      </c>
      <c r="V35" s="97">
        <f t="shared" si="3"/>
        <v>0</v>
      </c>
      <c r="W35" s="97">
        <f t="shared" si="4"/>
        <v>0</v>
      </c>
      <c r="X35" s="97">
        <f t="shared" si="5"/>
        <v>0</v>
      </c>
      <c r="Y35" s="209"/>
      <c r="Z35" s="210"/>
      <c r="AA35" s="210"/>
      <c r="AB35" s="128">
        <f>IF(AND(D35="Jour férié semaine",((G35-F35)+(I35-H35)+(K35-J35)=0)),VLOOKUP(D35,Systeemgegevens!$J:$K,2,FALSE),0)</f>
        <v>0</v>
      </c>
      <c r="AC35" s="43">
        <f>IF(AND(NOT(ISERROR(FIND("Congé",D35))),ISERROR(FIND("1/2",D35)),ISERROR(FIND("Synd",D35)),ISERROR(FIND("synd",D35)),(G35-F35+I35-H35+K35-J35)=0),VLOOKUP(D35,Systeemgegevens!$J:$K,2,FALSE),IF(AND(NOT(ISERROR(FIND("1/2 Congé + ",D35))),(G35-F35+I35-H35+K35-J35)=0),VLOOKUP(D35,Systeemgegevens!$J:$K,2,FALSE)/2,IF(AND(NOT(ISERROR(FIND("1/2 Congé",D35))),ISERROR(FIND(" + ",D35)),ISERROR(FIND("1/2 Congé Synd.",D35))),VLOOKUP(D35,Systeemgegevens!$J:$K,2,FALSE),0)))</f>
        <v>0</v>
      </c>
      <c r="AD35" s="43">
        <f>IF(AND(OR(D35="1/2 Congé Synd.",D35="Congé Synd."),((G35-F35)+(I35-H35)+(K35-J35)=0)),VLOOKUP(D35,Systeemgegevens!$J:$K,2,FALSE),IF(AND(D35="1/2 Congé + 1/2 synd.",((G35-F35)+(I35-H35)+(K35-J35)=0)),AC35,0))</f>
        <v>0</v>
      </c>
      <c r="AE35" s="43">
        <f>IF(AND(D35="Jour de pont",((G35-F35)+(I35-H35)+(K35-J35)=0)),VLOOKUP(D35,Systeemgegevens!$J:$K,2,FALSE),0)</f>
        <v>0</v>
      </c>
      <c r="AF35" s="43">
        <f>IF(AND(D35="Jour libre 4/5",AND((G35-F35)+(I35-H35)+(K35-J35)=0)),VLOOKUP(D35,Systeemgegevens!$J:$K,2,FALSE),0)</f>
        <v>0</v>
      </c>
      <c r="AG35" s="118">
        <f>IF(AND(D35&lt;&gt;"",SUM(AB35:AF35)=0,D35&lt;&gt;$AB$4,D35&lt;&gt;$AC$4,D35&lt;&gt;$AE$4,D35&lt;&gt;$AF$4),VLOOKUP(D35,Systeemgegevens!$J:$K,2,FALSE),0)</f>
        <v>0</v>
      </c>
      <c r="AH35" s="119">
        <f t="shared" si="6"/>
        <v>0</v>
      </c>
      <c r="AI35" s="101">
        <f t="shared" si="7"/>
        <v>0</v>
      </c>
      <c r="AJ35" s="118">
        <f t="shared" si="19"/>
        <v>0</v>
      </c>
      <c r="AK35" s="119">
        <f t="shared" si="8"/>
        <v>0</v>
      </c>
      <c r="AL35" s="101">
        <f t="shared" si="9"/>
        <v>0</v>
      </c>
      <c r="AM35" s="43">
        <f t="shared" si="20"/>
        <v>0</v>
      </c>
      <c r="AN35" s="118">
        <f t="shared" si="21"/>
        <v>0</v>
      </c>
      <c r="AO35" s="122">
        <f t="shared" si="10"/>
        <v>0</v>
      </c>
      <c r="AP35" s="107">
        <f t="shared" si="11"/>
        <v>0</v>
      </c>
      <c r="AQ35" s="107">
        <f t="shared" si="12"/>
        <v>0</v>
      </c>
      <c r="AR35" s="123">
        <f t="shared" si="13"/>
        <v>0</v>
      </c>
      <c r="AS35" s="124">
        <f t="shared" si="14"/>
        <v>0</v>
      </c>
      <c r="AT35" s="124">
        <f t="shared" si="15"/>
        <v>0</v>
      </c>
      <c r="AU35" s="124">
        <f t="shared" si="16"/>
        <v>0</v>
      </c>
      <c r="AV35" s="117" t="s">
        <v>11</v>
      </c>
      <c r="AW35" s="129">
        <f>IF(($R$41=AV35)*AND($R$42&lt;&gt;""),VLOOKUP($R$42,'Barèmes police'!$K$40:$L$66,2),0)</f>
        <v>0</v>
      </c>
      <c r="AX35" s="129"/>
      <c r="AY35" s="129"/>
      <c r="AZ35" s="154"/>
      <c r="BA35" s="154"/>
      <c r="BB35" s="154"/>
      <c r="BC35" s="154"/>
      <c r="BD35" s="154"/>
      <c r="BE35" s="154"/>
      <c r="BF35" s="154"/>
    </row>
    <row r="36" spans="1:58" ht="12.75" customHeight="1" x14ac:dyDescent="0.2">
      <c r="A36" s="34"/>
      <c r="B36" s="24" t="str">
        <f t="shared" si="0"/>
        <v>Me</v>
      </c>
      <c r="C36" s="25">
        <f t="shared" si="22"/>
        <v>45441</v>
      </c>
      <c r="D36" s="51"/>
      <c r="E36" s="116"/>
      <c r="F36" s="52"/>
      <c r="G36" s="53"/>
      <c r="H36" s="54"/>
      <c r="I36" s="55"/>
      <c r="J36" s="54"/>
      <c r="K36" s="55"/>
      <c r="L36" s="40">
        <f t="shared" si="1"/>
        <v>0</v>
      </c>
      <c r="M36" s="41">
        <f t="shared" si="23"/>
        <v>1.2666666666666666</v>
      </c>
      <c r="N36" s="42">
        <f>IF(AND(D36&lt;&gt;"Jour libre 4/5",B36&lt;&gt;"Sa",B36&lt;&gt;"Di"),SUM(N35,Configuration!$H$41),SUM(N35))</f>
        <v>6.6499999999999968</v>
      </c>
      <c r="O36" s="49" t="str">
        <f t="shared" si="24"/>
        <v>-</v>
      </c>
      <c r="P36" s="143">
        <f t="shared" si="17"/>
        <v>5.3833333333333302</v>
      </c>
      <c r="Q36" s="167">
        <f t="shared" si="18"/>
        <v>0</v>
      </c>
      <c r="R36" s="168">
        <f t="shared" si="18"/>
        <v>0</v>
      </c>
      <c r="S36" s="168">
        <f t="shared" si="18"/>
        <v>0</v>
      </c>
      <c r="T36" s="169">
        <f t="shared" si="18"/>
        <v>0</v>
      </c>
      <c r="U36" s="97">
        <f t="shared" si="2"/>
        <v>0</v>
      </c>
      <c r="V36" s="97">
        <f t="shared" si="3"/>
        <v>0</v>
      </c>
      <c r="W36" s="97">
        <f t="shared" si="4"/>
        <v>0</v>
      </c>
      <c r="X36" s="97">
        <f t="shared" si="5"/>
        <v>0</v>
      </c>
      <c r="Y36" s="209"/>
      <c r="Z36" s="210"/>
      <c r="AA36" s="210"/>
      <c r="AB36" s="128">
        <f>IF(AND(D36="Jour férié semaine",((G36-F36)+(I36-H36)+(K36-J36)=0)),VLOOKUP(D36,Systeemgegevens!$J:$K,2,FALSE),0)</f>
        <v>0</v>
      </c>
      <c r="AC36" s="43">
        <f>IF(AND(NOT(ISERROR(FIND("Congé",D36))),ISERROR(FIND("1/2",D36)),ISERROR(FIND("Synd",D36)),ISERROR(FIND("synd",D36)),(G36-F36+I36-H36+K36-J36)=0),VLOOKUP(D36,Systeemgegevens!$J:$K,2,FALSE),IF(AND(NOT(ISERROR(FIND("1/2 Congé + ",D36))),(G36-F36+I36-H36+K36-J36)=0),VLOOKUP(D36,Systeemgegevens!$J:$K,2,FALSE)/2,IF(AND(NOT(ISERROR(FIND("1/2 Congé",D36))),ISERROR(FIND(" + ",D36)),ISERROR(FIND("1/2 Congé Synd.",D36))),VLOOKUP(D36,Systeemgegevens!$J:$K,2,FALSE),0)))</f>
        <v>0</v>
      </c>
      <c r="AD36" s="43">
        <f>IF(AND(OR(D36="1/2 Congé Synd.",D36="Congé Synd."),((G36-F36)+(I36-H36)+(K36-J36)=0)),VLOOKUP(D36,Systeemgegevens!$J:$K,2,FALSE),IF(AND(D36="1/2 Congé + 1/2 synd.",((G36-F36)+(I36-H36)+(K36-J36)=0)),AC36,0))</f>
        <v>0</v>
      </c>
      <c r="AE36" s="43">
        <f>IF(AND(D36="Jour de pont",((G36-F36)+(I36-H36)+(K36-J36)=0)),VLOOKUP(D36,Systeemgegevens!$J:$K,2,FALSE),0)</f>
        <v>0</v>
      </c>
      <c r="AF36" s="43">
        <f>IF(AND(D36="Jour libre 4/5",AND((G36-F36)+(I36-H36)+(K36-J36)=0)),VLOOKUP(D36,Systeemgegevens!$J:$K,2,FALSE),0)</f>
        <v>0</v>
      </c>
      <c r="AG36" s="118">
        <f>IF(AND(D36&lt;&gt;"",SUM(AB36:AF36)=0,D36&lt;&gt;$AB$4,D36&lt;&gt;$AC$4,D36&lt;&gt;$AE$4,D36&lt;&gt;$AF$4),VLOOKUP(D36,Systeemgegevens!$J:$K,2,FALSE),0)</f>
        <v>0</v>
      </c>
      <c r="AH36" s="119">
        <f t="shared" si="6"/>
        <v>0</v>
      </c>
      <c r="AI36" s="101">
        <f t="shared" si="7"/>
        <v>0</v>
      </c>
      <c r="AJ36" s="118">
        <f t="shared" si="19"/>
        <v>0</v>
      </c>
      <c r="AK36" s="119">
        <f t="shared" si="8"/>
        <v>0</v>
      </c>
      <c r="AL36" s="101">
        <f t="shared" si="9"/>
        <v>0</v>
      </c>
      <c r="AM36" s="43">
        <f t="shared" si="20"/>
        <v>0</v>
      </c>
      <c r="AN36" s="118">
        <f t="shared" si="21"/>
        <v>0</v>
      </c>
      <c r="AO36" s="122">
        <f t="shared" si="10"/>
        <v>0</v>
      </c>
      <c r="AP36" s="107">
        <f t="shared" si="11"/>
        <v>0</v>
      </c>
      <c r="AQ36" s="107">
        <f t="shared" si="12"/>
        <v>0</v>
      </c>
      <c r="AR36" s="123">
        <f t="shared" si="13"/>
        <v>0</v>
      </c>
      <c r="AS36" s="124">
        <f t="shared" si="14"/>
        <v>0</v>
      </c>
      <c r="AT36" s="124">
        <f t="shared" si="15"/>
        <v>0</v>
      </c>
      <c r="AU36" s="124">
        <f t="shared" si="16"/>
        <v>0</v>
      </c>
      <c r="AV36" s="117" t="s">
        <v>2</v>
      </c>
      <c r="AW36" s="129">
        <f>IF(($R$41=AV36)*AND($R$42&lt;&gt;""),VLOOKUP($R$42,'Barèmes police'!$AR$40:$AS$66,2),0)</f>
        <v>0</v>
      </c>
      <c r="AX36" s="129"/>
      <c r="AY36" s="129"/>
      <c r="AZ36" s="154"/>
      <c r="BA36" s="154"/>
      <c r="BB36" s="154"/>
      <c r="BC36" s="154"/>
      <c r="BD36" s="154"/>
      <c r="BE36" s="154"/>
      <c r="BF36" s="154"/>
    </row>
    <row r="37" spans="1:58" ht="12.75" customHeight="1" x14ac:dyDescent="0.2">
      <c r="A37" s="34"/>
      <c r="B37" s="24" t="str">
        <f t="shared" si="0"/>
        <v>Je</v>
      </c>
      <c r="C37" s="25">
        <f t="shared" si="22"/>
        <v>45442</v>
      </c>
      <c r="D37" s="51"/>
      <c r="E37" s="116"/>
      <c r="F37" s="52"/>
      <c r="G37" s="53"/>
      <c r="H37" s="54"/>
      <c r="I37" s="55"/>
      <c r="J37" s="54"/>
      <c r="K37" s="55"/>
      <c r="L37" s="40">
        <f t="shared" si="1"/>
        <v>0</v>
      </c>
      <c r="M37" s="41">
        <f t="shared" si="23"/>
        <v>1.2666666666666666</v>
      </c>
      <c r="N37" s="42">
        <f>IF(AND(D37&lt;&gt;"Jour libre 4/5",B37&lt;&gt;"Sa",B37&lt;&gt;"Di"),SUM(N36,Configuration!$H$41),SUM(N36))</f>
        <v>6.9666666666666632</v>
      </c>
      <c r="O37" s="49" t="str">
        <f t="shared" si="24"/>
        <v>-</v>
      </c>
      <c r="P37" s="143">
        <f t="shared" si="17"/>
        <v>5.6999999999999966</v>
      </c>
      <c r="Q37" s="167">
        <f t="shared" si="18"/>
        <v>0</v>
      </c>
      <c r="R37" s="168">
        <f t="shared" si="18"/>
        <v>0</v>
      </c>
      <c r="S37" s="168">
        <f t="shared" si="18"/>
        <v>0</v>
      </c>
      <c r="T37" s="169">
        <f t="shared" si="18"/>
        <v>0</v>
      </c>
      <c r="U37" s="97">
        <f t="shared" si="2"/>
        <v>0</v>
      </c>
      <c r="V37" s="97">
        <f t="shared" si="3"/>
        <v>0</v>
      </c>
      <c r="W37" s="97">
        <f t="shared" si="4"/>
        <v>0</v>
      </c>
      <c r="X37" s="97">
        <f t="shared" si="5"/>
        <v>0</v>
      </c>
      <c r="Y37" s="209"/>
      <c r="Z37" s="210"/>
      <c r="AA37" s="210"/>
      <c r="AB37" s="128">
        <f>IF(AND(D37="Jour férié semaine",((G37-F37)+(I37-H37)+(K37-J37)=0)),VLOOKUP(D37,Systeemgegevens!$J:$K,2,FALSE),0)</f>
        <v>0</v>
      </c>
      <c r="AC37" s="43">
        <f>IF(AND(NOT(ISERROR(FIND("Congé",D37))),ISERROR(FIND("1/2",D37)),ISERROR(FIND("Synd",D37)),ISERROR(FIND("synd",D37)),(G37-F37+I37-H37+K37-J37)=0),VLOOKUP(D37,Systeemgegevens!$J:$K,2,FALSE),IF(AND(NOT(ISERROR(FIND("1/2 Congé + ",D37))),(G37-F37+I37-H37+K37-J37)=0),VLOOKUP(D37,Systeemgegevens!$J:$K,2,FALSE)/2,IF(AND(NOT(ISERROR(FIND("1/2 Congé",D37))),ISERROR(FIND(" + ",D37)),ISERROR(FIND("1/2 Congé Synd.",D37))),VLOOKUP(D37,Systeemgegevens!$J:$K,2,FALSE),0)))</f>
        <v>0</v>
      </c>
      <c r="AD37" s="43">
        <f>IF(AND(OR(D37="1/2 Congé Synd.",D37="Congé Synd."),((G37-F37)+(I37-H37)+(K37-J37)=0)),VLOOKUP(D37,Systeemgegevens!$J:$K,2,FALSE),IF(AND(D37="1/2 Congé + 1/2 synd.",((G37-F37)+(I37-H37)+(K37-J37)=0)),AC37,0))</f>
        <v>0</v>
      </c>
      <c r="AE37" s="43">
        <f>IF(AND(D37="Jour de pont",((G37-F37)+(I37-H37)+(K37-J37)=0)),VLOOKUP(D37,Systeemgegevens!$J:$K,2,FALSE),0)</f>
        <v>0</v>
      </c>
      <c r="AF37" s="43">
        <f>IF(AND(D37="Jour libre 4/5",AND((G37-F37)+(I37-H37)+(K37-J37)=0)),VLOOKUP(D37,Systeemgegevens!$J:$K,2,FALSE),0)</f>
        <v>0</v>
      </c>
      <c r="AG37" s="118">
        <f>IF(AND(D37&lt;&gt;"",SUM(AB37:AF37)=0,D37&lt;&gt;$AB$4,D37&lt;&gt;$AC$4,D37&lt;&gt;$AE$4,D37&lt;&gt;$AF$4),VLOOKUP(D37,Systeemgegevens!$J:$K,2,FALSE),0)</f>
        <v>0</v>
      </c>
      <c r="AH37" s="119">
        <f t="shared" si="6"/>
        <v>0</v>
      </c>
      <c r="AI37" s="101">
        <f t="shared" si="7"/>
        <v>0</v>
      </c>
      <c r="AJ37" s="118">
        <f t="shared" si="19"/>
        <v>0</v>
      </c>
      <c r="AK37" s="119">
        <f t="shared" si="8"/>
        <v>0</v>
      </c>
      <c r="AL37" s="101">
        <f t="shared" si="9"/>
        <v>0</v>
      </c>
      <c r="AM37" s="43">
        <f t="shared" si="20"/>
        <v>0</v>
      </c>
      <c r="AN37" s="118">
        <f t="shared" si="21"/>
        <v>0</v>
      </c>
      <c r="AO37" s="122">
        <f t="shared" si="10"/>
        <v>0</v>
      </c>
      <c r="AP37" s="107">
        <f t="shared" si="11"/>
        <v>0</v>
      </c>
      <c r="AQ37" s="107">
        <f t="shared" si="12"/>
        <v>0</v>
      </c>
      <c r="AR37" s="123">
        <f t="shared" si="13"/>
        <v>0</v>
      </c>
      <c r="AS37" s="124">
        <f t="shared" si="14"/>
        <v>0</v>
      </c>
      <c r="AT37" s="124">
        <f t="shared" si="15"/>
        <v>0</v>
      </c>
      <c r="AU37" s="124">
        <f t="shared" si="16"/>
        <v>0</v>
      </c>
      <c r="AV37" s="117" t="s">
        <v>269</v>
      </c>
      <c r="AW37" s="129">
        <f>IF(($R$41=AV37)*AND($R$42&lt;&gt;""),VLOOKUP($R$42,'Barèmes police'!$AU$40:$AV$66,2),0)</f>
        <v>0</v>
      </c>
      <c r="AX37" s="129"/>
      <c r="AY37" s="129"/>
      <c r="AZ37" s="154"/>
      <c r="BA37" s="154"/>
      <c r="BB37" s="154"/>
      <c r="BC37" s="154"/>
      <c r="BD37" s="154"/>
      <c r="BE37" s="154"/>
      <c r="BF37" s="154"/>
    </row>
    <row r="38" spans="1:58" ht="12.75" customHeight="1" x14ac:dyDescent="0.2">
      <c r="A38" s="34"/>
      <c r="B38" s="36" t="str">
        <f t="shared" si="0"/>
        <v>Ve</v>
      </c>
      <c r="C38" s="25">
        <f t="shared" si="22"/>
        <v>45443</v>
      </c>
      <c r="D38" s="56"/>
      <c r="E38" s="56"/>
      <c r="F38" s="149"/>
      <c r="G38" s="150"/>
      <c r="H38" s="57"/>
      <c r="I38" s="58"/>
      <c r="J38" s="57"/>
      <c r="K38" s="58"/>
      <c r="L38" s="44">
        <f t="shared" si="1"/>
        <v>0</v>
      </c>
      <c r="M38" s="46">
        <f>M37+L38</f>
        <v>1.2666666666666666</v>
      </c>
      <c r="N38" s="47">
        <f>IF(AND(D38&lt;&gt;"Jour libre 4/5",B38&lt;&gt;"Sa",B38&lt;&gt;"Di"),SUM(N37,Configuration!$H$41),SUM(N37))</f>
        <v>7.2833333333333297</v>
      </c>
      <c r="O38" s="50" t="str">
        <f t="shared" si="24"/>
        <v>-</v>
      </c>
      <c r="P38" s="142">
        <f t="shared" si="17"/>
        <v>6.0166666666666631</v>
      </c>
      <c r="Q38" s="170">
        <f t="shared" si="18"/>
        <v>0</v>
      </c>
      <c r="R38" s="171">
        <f t="shared" si="18"/>
        <v>0</v>
      </c>
      <c r="S38" s="171">
        <f t="shared" si="18"/>
        <v>0</v>
      </c>
      <c r="T38" s="172">
        <f t="shared" si="18"/>
        <v>0</v>
      </c>
      <c r="U38" s="98">
        <f t="shared" si="2"/>
        <v>0</v>
      </c>
      <c r="V38" s="98">
        <f t="shared" si="3"/>
        <v>0</v>
      </c>
      <c r="W38" s="98">
        <f t="shared" si="4"/>
        <v>0</v>
      </c>
      <c r="X38" s="98">
        <f t="shared" si="5"/>
        <v>0</v>
      </c>
      <c r="Y38" s="211"/>
      <c r="Z38" s="212"/>
      <c r="AA38" s="212"/>
      <c r="AB38" s="128">
        <f>IF(AND(D38="Jour férié semaine",((G38-F38)+(I38-H38)+(K38-J38)=0)),VLOOKUP(D38,Systeemgegevens!$J:$K,2,FALSE),0)</f>
        <v>0</v>
      </c>
      <c r="AC38" s="43">
        <f>IF(AND(NOT(ISERROR(FIND("Congé",D38))),ISERROR(FIND("1/2",D38)),ISERROR(FIND("Synd",D38)),ISERROR(FIND("synd",D38)),(G38-F38+I38-H38+K38-J38)=0),VLOOKUP(D38,Systeemgegevens!$J:$K,2,FALSE),IF(AND(NOT(ISERROR(FIND("1/2 Congé + ",D38))),(G38-F38+I38-H38+K38-J38)=0),VLOOKUP(D38,Systeemgegevens!$J:$K,2,FALSE)/2,IF(AND(NOT(ISERROR(FIND("1/2 Congé",D38))),ISERROR(FIND(" + ",D38)),ISERROR(FIND("1/2 Congé Synd.",D38))),VLOOKUP(D38,Systeemgegevens!$J:$K,2,FALSE),0)))</f>
        <v>0</v>
      </c>
      <c r="AD38" s="43">
        <f>IF(AND(OR(D38="1/2 Congé Synd.",D38="Congé Synd."),((G38-F38)+(I38-H38)+(K38-J38)=0)),VLOOKUP(D38,Systeemgegevens!$J:$K,2,FALSE),IF(AND(D38="1/2 Congé + 1/2 synd.",((G38-F38)+(I38-H38)+(K38-J38)=0)),AC38,0))</f>
        <v>0</v>
      </c>
      <c r="AE38" s="43">
        <f>IF(AND(D38="Jour de pont",((G38-F38)+(I38-H38)+(K38-J38)=0)),VLOOKUP(D38,Systeemgegevens!$J:$K,2,FALSE),0)</f>
        <v>0</v>
      </c>
      <c r="AF38" s="43">
        <f>IF(AND(D38="Jour libre 4/5",AND((G38-F38)+(I38-H38)+(K38-J38)=0)),VLOOKUP(D38,Systeemgegevens!$J:$K,2,FALSE),0)</f>
        <v>0</v>
      </c>
      <c r="AG38" s="118">
        <f>IF(AND(D38&lt;&gt;"",SUM(AB38:AF38)=0,D38&lt;&gt;$AB$4,D38&lt;&gt;$AC$4,D38&lt;&gt;$AE$4,D38&lt;&gt;$AF$4),VLOOKUP(D38,Systeemgegevens!$J:$K,2,FALSE),0)</f>
        <v>0</v>
      </c>
      <c r="AH38" s="119">
        <f t="shared" si="6"/>
        <v>0</v>
      </c>
      <c r="AI38" s="101">
        <f t="shared" si="7"/>
        <v>0</v>
      </c>
      <c r="AJ38" s="118">
        <f t="shared" si="19"/>
        <v>0</v>
      </c>
      <c r="AK38" s="119">
        <f t="shared" si="8"/>
        <v>0</v>
      </c>
      <c r="AL38" s="101">
        <f t="shared" si="9"/>
        <v>0</v>
      </c>
      <c r="AM38" s="43">
        <f t="shared" si="20"/>
        <v>0</v>
      </c>
      <c r="AN38" s="118">
        <f t="shared" si="21"/>
        <v>0</v>
      </c>
      <c r="AO38" s="122">
        <f t="shared" si="10"/>
        <v>0</v>
      </c>
      <c r="AP38" s="107">
        <f t="shared" si="11"/>
        <v>0</v>
      </c>
      <c r="AQ38" s="107">
        <f t="shared" si="12"/>
        <v>0</v>
      </c>
      <c r="AR38" s="123">
        <f t="shared" si="13"/>
        <v>0</v>
      </c>
      <c r="AS38" s="124">
        <f t="shared" si="14"/>
        <v>0</v>
      </c>
      <c r="AT38" s="124">
        <f t="shared" si="15"/>
        <v>0</v>
      </c>
      <c r="AU38" s="124">
        <f t="shared" si="16"/>
        <v>0</v>
      </c>
      <c r="AX38" s="129"/>
      <c r="AY38" s="129"/>
      <c r="AZ38" s="154"/>
      <c r="BA38" s="154"/>
      <c r="BB38" s="154"/>
      <c r="BC38" s="154"/>
      <c r="BD38" s="154"/>
      <c r="BE38" s="154"/>
      <c r="BF38" s="154"/>
    </row>
    <row r="39" spans="1:58" ht="12.75" customHeight="1" x14ac:dyDescent="0.2">
      <c r="C39" s="281"/>
      <c r="AX39" s="129"/>
      <c r="AY39" s="129"/>
    </row>
    <row r="40" spans="1:58" ht="12.75" customHeight="1" x14ac:dyDescent="0.2">
      <c r="J40" s="215"/>
      <c r="K40" s="215"/>
      <c r="L40" s="215"/>
      <c r="M40" s="216"/>
      <c r="N40" s="215"/>
      <c r="O40" s="217"/>
      <c r="P40" s="215"/>
      <c r="Q40" s="215"/>
      <c r="R40" s="215"/>
      <c r="S40" s="215"/>
      <c r="T40" s="215"/>
      <c r="U40" s="217"/>
      <c r="V40" s="217"/>
      <c r="W40" s="416" t="s">
        <v>212</v>
      </c>
      <c r="X40" s="417"/>
      <c r="Y40" s="23"/>
      <c r="Z40" s="218"/>
      <c r="AA40" s="218"/>
      <c r="AV40" s="117" t="s">
        <v>8</v>
      </c>
      <c r="AW40" s="129">
        <f>IF(($R$41=AV40)*AND($R$42&lt;&gt;""),VLOOKUP($R$42,'Barèmes police'!$Z$40:$AA$66,2),0)</f>
        <v>0</v>
      </c>
      <c r="AX40" s="129"/>
      <c r="AY40" s="129"/>
    </row>
    <row r="41" spans="1:58" ht="12.75" customHeight="1" x14ac:dyDescent="0.2">
      <c r="B41" s="475" t="s">
        <v>201</v>
      </c>
      <c r="C41" s="414"/>
      <c r="D41" s="398"/>
      <c r="E41" s="397" t="s">
        <v>202</v>
      </c>
      <c r="F41" s="398"/>
      <c r="G41" s="414" t="s">
        <v>243</v>
      </c>
      <c r="H41" s="415"/>
      <c r="J41" s="407" t="s">
        <v>235</v>
      </c>
      <c r="K41" s="408"/>
      <c r="L41" s="408"/>
      <c r="M41" s="408"/>
      <c r="N41" s="408"/>
      <c r="O41" s="219"/>
      <c r="P41" s="220"/>
      <c r="Q41" s="220"/>
      <c r="R41" s="405" t="s">
        <v>36</v>
      </c>
      <c r="S41" s="406"/>
      <c r="T41" s="402" t="s">
        <v>213</v>
      </c>
      <c r="U41" s="403"/>
      <c r="V41" s="404"/>
      <c r="W41" s="221">
        <v>1</v>
      </c>
      <c r="X41" s="222" t="s">
        <v>54</v>
      </c>
      <c r="Y41" s="23"/>
      <c r="Z41" s="383" t="s">
        <v>75</v>
      </c>
      <c r="AA41" s="384"/>
      <c r="AV41" s="117" t="s">
        <v>5</v>
      </c>
      <c r="AW41" s="129">
        <f>IF(($R$41=AV41)*AND($R$42&lt;&gt;""),VLOOKUP($R$42,'Barèmes police'!$AI$40:$AJ$66,2),0)</f>
        <v>0</v>
      </c>
      <c r="AX41" s="129"/>
      <c r="AY41" s="129"/>
    </row>
    <row r="42" spans="1:58" ht="12.75" customHeight="1" x14ac:dyDescent="0.2">
      <c r="B42" s="476" t="s">
        <v>205</v>
      </c>
      <c r="C42" s="477"/>
      <c r="D42" s="478"/>
      <c r="E42" s="412">
        <f>Avr!E45</f>
        <v>34</v>
      </c>
      <c r="F42" s="413"/>
      <c r="G42" s="399">
        <f>Avr!G45</f>
        <v>10.766666666666666</v>
      </c>
      <c r="H42" s="399"/>
      <c r="J42" s="223"/>
      <c r="K42" s="224"/>
      <c r="L42" s="224"/>
      <c r="M42" s="224"/>
      <c r="N42" s="224"/>
      <c r="O42" s="225"/>
      <c r="P42" s="226"/>
      <c r="Q42" s="226"/>
      <c r="R42" s="464">
        <v>0</v>
      </c>
      <c r="S42" s="465"/>
      <c r="T42" s="466">
        <f>SUM(AW8:AW201)</f>
        <v>14703.88</v>
      </c>
      <c r="U42" s="467"/>
      <c r="V42" s="468"/>
      <c r="W42" s="213">
        <v>13409.11</v>
      </c>
      <c r="X42" s="214">
        <v>12735.61</v>
      </c>
      <c r="Y42" s="23"/>
      <c r="Z42" s="457">
        <v>2.0398999999999998</v>
      </c>
      <c r="AA42" s="458"/>
      <c r="AV42" s="117" t="s">
        <v>10</v>
      </c>
      <c r="AW42" s="129">
        <f>IF(($R$41=AV42)*AND($R$42&lt;&gt;""),VLOOKUP($R$42,'Barèmes police'!$N$40:$O$66,2),0)</f>
        <v>0</v>
      </c>
      <c r="AX42" s="129"/>
      <c r="AY42" s="129"/>
    </row>
    <row r="43" spans="1:58" ht="12.75" customHeight="1" x14ac:dyDescent="0.2">
      <c r="B43" s="476" t="s">
        <v>203</v>
      </c>
      <c r="C43" s="477"/>
      <c r="D43" s="478"/>
      <c r="E43" s="459">
        <v>0</v>
      </c>
      <c r="F43" s="460"/>
      <c r="G43" s="463">
        <f>E43*Configuration!$H$41</f>
        <v>0</v>
      </c>
      <c r="H43" s="463"/>
      <c r="J43" s="227" t="s">
        <v>215</v>
      </c>
      <c r="K43" s="228"/>
      <c r="L43" s="229"/>
      <c r="M43" s="230">
        <f>IF(MINUTE(SUM(U8:U39))&gt;=30,SUM(U8:U39)+(TIME(1,0,0))-TIME(0,MINUTE(SUM(U8:U39)),0),SUM(U8:U39)-TIME(0,MINUTE(SUM(U8:U39)),0))</f>
        <v>0</v>
      </c>
      <c r="N43" s="219" t="s">
        <v>190</v>
      </c>
      <c r="O43" s="231"/>
      <c r="P43" s="220"/>
      <c r="Q43" s="220"/>
      <c r="R43" s="232"/>
      <c r="S43" s="354">
        <f>IF($R$2="Oui",(M43*AK44*24),0)</f>
        <v>0</v>
      </c>
      <c r="T43" s="355"/>
      <c r="U43" s="355"/>
      <c r="V43" s="233" t="s">
        <v>55</v>
      </c>
      <c r="W43" s="234">
        <f>IF($R$3="Oui",M43*AK49*24,0)</f>
        <v>0</v>
      </c>
      <c r="X43" s="235" t="s">
        <v>55</v>
      </c>
      <c r="Y43" s="23"/>
      <c r="Z43" s="218"/>
      <c r="AA43" s="218"/>
      <c r="AB43" s="352" t="s">
        <v>66</v>
      </c>
      <c r="AC43" s="353"/>
      <c r="AD43" s="353"/>
      <c r="AE43" s="130">
        <f>T42*Z42</f>
        <v>29994.444811999994</v>
      </c>
      <c r="AG43" s="352" t="s">
        <v>64</v>
      </c>
      <c r="AH43" s="353"/>
      <c r="AI43" s="353"/>
      <c r="AJ43" s="353"/>
      <c r="AK43" s="130">
        <f>T42*Z42/1850</f>
        <v>16.213213411891889</v>
      </c>
      <c r="AM43" s="389" t="s">
        <v>163</v>
      </c>
      <c r="AN43" s="390"/>
      <c r="AO43" s="390"/>
      <c r="AP43" s="390"/>
      <c r="AQ43" s="390"/>
      <c r="AR43" s="127"/>
      <c r="AV43" s="18" t="s">
        <v>4</v>
      </c>
      <c r="AW43" s="129">
        <f>IF(($R$41=AV43)*AND($R$42&lt;&gt;""),VLOOKUP($R$42,'Barèmes police'!$AL$40:$AM$66,2),0)</f>
        <v>0</v>
      </c>
      <c r="AX43" s="129"/>
      <c r="AY43" s="129"/>
    </row>
    <row r="44" spans="1:58" ht="12.75" customHeight="1" x14ac:dyDescent="0.2">
      <c r="B44" s="476" t="s">
        <v>260</v>
      </c>
      <c r="C44" s="477"/>
      <c r="D44" s="478"/>
      <c r="E44" s="412">
        <f>SUM(AU8:AU39)</f>
        <v>0</v>
      </c>
      <c r="F44" s="413"/>
      <c r="G44" s="399">
        <f>SUM(AU8:AU39)*Configuration!H41</f>
        <v>0</v>
      </c>
      <c r="H44" s="399"/>
      <c r="J44" s="236" t="s">
        <v>217</v>
      </c>
      <c r="K44" s="237"/>
      <c r="L44" s="238"/>
      <c r="M44" s="239">
        <f>IF(MINUTE(SUM(V8:V39))&gt;=30,SUM(V8:V39)+(TIME(1,0,0))-TIME(0,MINUTE(SUM(V8:V39)),0),SUM(V8:V39)-TIME(0,MINUTE(SUM(V8:V39)),0))</f>
        <v>0</v>
      </c>
      <c r="N44" s="225" t="s">
        <v>190</v>
      </c>
      <c r="O44" s="240"/>
      <c r="P44" s="226"/>
      <c r="Q44" s="226"/>
      <c r="R44" s="232"/>
      <c r="S44" s="354">
        <f>IF($R$2="Oui",M44*AK45*24,0)</f>
        <v>0</v>
      </c>
      <c r="T44" s="355"/>
      <c r="U44" s="355"/>
      <c r="V44" s="233" t="s">
        <v>55</v>
      </c>
      <c r="W44" s="23"/>
      <c r="X44" s="241"/>
      <c r="Y44" s="23"/>
      <c r="Z44" s="377" t="s">
        <v>211</v>
      </c>
      <c r="AA44" s="378"/>
      <c r="AB44" s="358" t="s">
        <v>67</v>
      </c>
      <c r="AC44" s="359"/>
      <c r="AD44" s="359"/>
      <c r="AE44" s="121">
        <f>AE43*0.075</f>
        <v>2249.5833608999997</v>
      </c>
      <c r="AG44" s="358" t="s">
        <v>65</v>
      </c>
      <c r="AH44" s="359"/>
      <c r="AI44" s="359"/>
      <c r="AJ44" s="359"/>
      <c r="AK44" s="136">
        <f>(AK43*0.9645)*AE49</f>
        <v>9.3231635529859105</v>
      </c>
      <c r="AM44" s="391" t="str">
        <f>IF(Configuration!$H$30="Dagen","Aantal dagen beschikbaar:","Aantal uren beschikbaar:")</f>
        <v>Aantal uren beschikbaar:</v>
      </c>
      <c r="AN44" s="392"/>
      <c r="AO44" s="392"/>
      <c r="AP44" s="392"/>
      <c r="AQ44" s="393">
        <f>IF(Configuration!H30="Dagen",Configuration!H45,Configuration!H45)</f>
        <v>99999</v>
      </c>
      <c r="AR44" s="394"/>
      <c r="AV44" s="18" t="s">
        <v>9</v>
      </c>
      <c r="AW44" s="129">
        <f>IF(($R$41=AV44)*AND($R$42&lt;&gt;""),VLOOKUP($R$42,'Barèmes police'!$Q$40:$R$66,2),0)</f>
        <v>0</v>
      </c>
      <c r="AX44" s="129"/>
      <c r="AY44" s="129"/>
    </row>
    <row r="45" spans="1:58" ht="12.75" customHeight="1" x14ac:dyDescent="0.2">
      <c r="B45" s="476" t="s">
        <v>204</v>
      </c>
      <c r="C45" s="477"/>
      <c r="D45" s="478"/>
      <c r="E45" s="412">
        <f>SUM(AC8:AC39)/Configuration!H41</f>
        <v>0</v>
      </c>
      <c r="F45" s="413"/>
      <c r="G45" s="399">
        <f>SUM(AC8:AC39)</f>
        <v>0</v>
      </c>
      <c r="H45" s="399"/>
      <c r="J45" s="236" t="s">
        <v>216</v>
      </c>
      <c r="K45" s="237"/>
      <c r="L45" s="238"/>
      <c r="M45" s="239">
        <f>IF(MINUTE(SUM(W8:W39))&gt;=30,SUM(W8:W39)+(TIME(1,0,0))-TIME(0,MINUTE(SUM(W8:W39)),0),SUM(W8:W39)-TIME(0,MINUTE(SUM(W8:W39)),0))</f>
        <v>0</v>
      </c>
      <c r="N45" s="237" t="s">
        <v>190</v>
      </c>
      <c r="O45" s="225"/>
      <c r="P45" s="225"/>
      <c r="Q45" s="225"/>
      <c r="R45" s="233"/>
      <c r="S45" s="354">
        <f>IF($R$2="Oui",M45*AK46*24,0)</f>
        <v>0</v>
      </c>
      <c r="T45" s="355"/>
      <c r="U45" s="355"/>
      <c r="V45" s="233" t="s">
        <v>55</v>
      </c>
      <c r="W45" s="234"/>
      <c r="X45" s="235"/>
      <c r="Y45" s="23"/>
      <c r="Z45" s="379"/>
      <c r="AA45" s="380"/>
      <c r="AB45" s="358" t="s">
        <v>68</v>
      </c>
      <c r="AC45" s="359"/>
      <c r="AD45" s="359"/>
      <c r="AE45" s="121">
        <f>AE43*0.0355</f>
        <v>1064.8027908259996</v>
      </c>
      <c r="AG45" s="358" t="s">
        <v>77</v>
      </c>
      <c r="AH45" s="359"/>
      <c r="AI45" s="359"/>
      <c r="AJ45" s="359"/>
      <c r="AK45" s="136">
        <f>AK44*0.2</f>
        <v>1.8646327105971823</v>
      </c>
      <c r="AM45" s="391" t="str">
        <f>IF(Configuration!$H$30="Dagen","Opgenomen Congé Synd.dagen:","Opgenomen Congé Synd.uren:")</f>
        <v>Opgenomen Congé Synd.uren:</v>
      </c>
      <c r="AN45" s="392"/>
      <c r="AO45" s="392"/>
      <c r="AP45" s="392"/>
      <c r="AQ45" s="469">
        <f>IF(Configuration!$H$30="Dagen",SUM(AD8:AD39)/Configuration!H41,SUM(AD8:AD39))</f>
        <v>0</v>
      </c>
      <c r="AR45" s="470"/>
      <c r="AV45" s="18" t="s">
        <v>3</v>
      </c>
      <c r="AW45" s="129">
        <f>IF(($R$41=AV45)*AND($R$42&lt;&gt;""),VLOOKUP($R$42,'Barèmes police'!$AO$40:$AP$66,2),0)</f>
        <v>0</v>
      </c>
    </row>
    <row r="46" spans="1:58" ht="12.75" customHeight="1" x14ac:dyDescent="0.2">
      <c r="B46" s="409" t="s">
        <v>254</v>
      </c>
      <c r="C46" s="410"/>
      <c r="D46" s="411"/>
      <c r="E46" s="461">
        <f>E42+E43+E44-E45</f>
        <v>34</v>
      </c>
      <c r="F46" s="462"/>
      <c r="G46" s="400">
        <f>G42+G43+G44-G45</f>
        <v>10.766666666666666</v>
      </c>
      <c r="H46" s="401"/>
      <c r="J46" s="236" t="s">
        <v>218</v>
      </c>
      <c r="K46" s="237"/>
      <c r="L46" s="238"/>
      <c r="M46" s="239">
        <f>IF(MINUTE(SUM(X8:X39))&gt;=30,SUM(X8:X39)+(TIME(1,0,0))-TIME(0,MINUTE(SUM(X8:X39)),0),SUM(X8:X39)-TIME(0,MINUTE(SUM(X8:X39)),0))</f>
        <v>0</v>
      </c>
      <c r="N46" s="237" t="s">
        <v>190</v>
      </c>
      <c r="O46" s="225"/>
      <c r="P46" s="225"/>
      <c r="Q46" s="225"/>
      <c r="R46" s="233"/>
      <c r="S46" s="242"/>
      <c r="T46" s="242"/>
      <c r="U46" s="242"/>
      <c r="V46" s="243"/>
      <c r="W46" s="234">
        <f>IF($R$3="Oui",M46*AK52*24,0)</f>
        <v>0</v>
      </c>
      <c r="X46" s="235" t="s">
        <v>55</v>
      </c>
      <c r="Y46" s="23"/>
      <c r="Z46" s="381">
        <f>AE48</f>
        <v>0.40380000000000005</v>
      </c>
      <c r="AA46" s="382"/>
      <c r="AB46" s="348" t="s">
        <v>69</v>
      </c>
      <c r="AC46" s="349"/>
      <c r="AD46" s="349"/>
      <c r="AE46" s="132">
        <f>AE43-AE44-AE45</f>
        <v>26680.058660273993</v>
      </c>
      <c r="AG46" s="348" t="s">
        <v>78</v>
      </c>
      <c r="AH46" s="349"/>
      <c r="AI46" s="349"/>
      <c r="AJ46" s="349"/>
      <c r="AK46" s="132">
        <f>AK44*0.35</f>
        <v>3.2631072435450683</v>
      </c>
      <c r="AM46" s="375" t="str">
        <f>IF(Configuration!$H$30="Dagen","Resterend aantal dagen:","Resterend aantal uren:")</f>
        <v>Resterend aantal uren:</v>
      </c>
      <c r="AN46" s="376"/>
      <c r="AO46" s="376"/>
      <c r="AP46" s="376"/>
      <c r="AQ46" s="366">
        <f>AQ44-AQ45</f>
        <v>99999</v>
      </c>
      <c r="AR46" s="367"/>
      <c r="AV46" s="18" t="s">
        <v>1</v>
      </c>
      <c r="AW46" s="129">
        <f>IF(($R$41=AV46)*AND($R$42&lt;&gt;""),VLOOKUP($R$42,'Barèmes police'!$T$40:$U$69,2),0)</f>
        <v>0</v>
      </c>
    </row>
    <row r="47" spans="1:58" ht="12.75" customHeight="1" x14ac:dyDescent="0.2">
      <c r="B47" s="23"/>
      <c r="C47" s="23"/>
      <c r="D47" s="23"/>
      <c r="E47" s="23"/>
      <c r="F47" s="23"/>
      <c r="G47" s="23"/>
      <c r="J47" s="236" t="s">
        <v>219</v>
      </c>
      <c r="K47" s="237"/>
      <c r="L47" s="238"/>
      <c r="M47" s="244">
        <f>COUNTIF($Q$8:$Q$38,"1")</f>
        <v>0</v>
      </c>
      <c r="N47" s="225"/>
      <c r="O47" s="362" t="s">
        <v>223</v>
      </c>
      <c r="P47" s="363"/>
      <c r="Q47" s="363"/>
      <c r="R47" s="245">
        <f>COUNTIF($Q$8:$Q$38,"2")</f>
        <v>0</v>
      </c>
      <c r="S47" s="354">
        <f>IF($R$2="Oui",(M47*AE52*Z42+(R47*Z42*2.48)),0)</f>
        <v>0</v>
      </c>
      <c r="T47" s="355"/>
      <c r="U47" s="355"/>
      <c r="V47" s="233" t="s">
        <v>55</v>
      </c>
      <c r="W47" s="234">
        <f>IF($R$3="Oui",(M47*AE52*Z42+(R47*AE52*6.2)),0)</f>
        <v>0</v>
      </c>
      <c r="X47" s="235" t="s">
        <v>55</v>
      </c>
      <c r="Y47" s="23"/>
      <c r="Z47" s="218"/>
      <c r="AA47" s="218"/>
      <c r="AV47" s="18" t="s">
        <v>0</v>
      </c>
      <c r="AW47" s="129">
        <f>IF(($R$41=AV47)*AND($R$42&lt;&gt;""),VLOOKUP($R$42,'Barèmes police'!$W$40:$X$69,2),0)</f>
        <v>0</v>
      </c>
    </row>
    <row r="48" spans="1:58" ht="12.75" customHeight="1" x14ac:dyDescent="0.2">
      <c r="B48" s="368" t="s">
        <v>206</v>
      </c>
      <c r="C48" s="369"/>
      <c r="D48" s="369"/>
      <c r="E48" s="369"/>
      <c r="F48" s="370" t="s">
        <v>180</v>
      </c>
      <c r="G48" s="371"/>
      <c r="J48" s="236" t="s">
        <v>220</v>
      </c>
      <c r="K48" s="237"/>
      <c r="L48" s="238"/>
      <c r="M48" s="244">
        <f>COUNTIF($R$8:$R$38,"1")</f>
        <v>0</v>
      </c>
      <c r="N48" s="225"/>
      <c r="O48" s="362" t="s">
        <v>224</v>
      </c>
      <c r="P48" s="363"/>
      <c r="Q48" s="363"/>
      <c r="R48" s="245">
        <f>COUNTIF($R$8:$R$38,"2")</f>
        <v>0</v>
      </c>
      <c r="S48" s="354">
        <f>IF($R$2="Oui",(M48*AE53*Z42+(R48*Z42*6.2)),0)</f>
        <v>0</v>
      </c>
      <c r="T48" s="355"/>
      <c r="U48" s="355"/>
      <c r="V48" s="233" t="s">
        <v>55</v>
      </c>
      <c r="W48" s="234">
        <f>IF($R$3="Oui",(M48*AE53*Z42+(R48*AE53*6.2)),0)</f>
        <v>0</v>
      </c>
      <c r="X48" s="235" t="s">
        <v>55</v>
      </c>
      <c r="Y48" s="23"/>
      <c r="Z48" s="383" t="s">
        <v>258</v>
      </c>
      <c r="AA48" s="384"/>
      <c r="AB48" s="352" t="s">
        <v>70</v>
      </c>
      <c r="AC48" s="353"/>
      <c r="AD48" s="353"/>
      <c r="AE48" s="134">
        <f>VLOOKUP(AE46,Systeemgegevens!C3:E14,3)/100</f>
        <v>0.40380000000000005</v>
      </c>
      <c r="AG48" s="352" t="s">
        <v>72</v>
      </c>
      <c r="AH48" s="353"/>
      <c r="AI48" s="353"/>
      <c r="AJ48" s="353"/>
      <c r="AK48" s="133">
        <f>X42*1.2434/1850</f>
        <v>8.5597067427027032</v>
      </c>
      <c r="AV48" s="18" t="s">
        <v>61</v>
      </c>
      <c r="AW48" s="129">
        <f>IF(($R$41=AV48)*AND($R$42&lt;&gt;""),VLOOKUP($R$42,'Barèmes police'!$BM$4:$BN$39,2),0)</f>
        <v>0</v>
      </c>
    </row>
    <row r="49" spans="2:49" ht="12.75" customHeight="1" x14ac:dyDescent="0.2">
      <c r="B49" s="17"/>
      <c r="F49" s="17"/>
      <c r="G49" s="17"/>
      <c r="J49" s="236" t="s">
        <v>221</v>
      </c>
      <c r="K49" s="237"/>
      <c r="L49" s="238"/>
      <c r="M49" s="244">
        <f>COUNTIF($S$8:$S$38, "1")</f>
        <v>0</v>
      </c>
      <c r="N49" s="225"/>
      <c r="O49" s="362" t="s">
        <v>225</v>
      </c>
      <c r="P49" s="363"/>
      <c r="Q49" s="363"/>
      <c r="R49" s="245">
        <f>COUNTIF($S$8:$S$38, "2")</f>
        <v>0</v>
      </c>
      <c r="S49" s="354">
        <f>IF($R$2="Oui",(M49*AE54*Z42+(R49*Z42*6.2)),0)</f>
        <v>0</v>
      </c>
      <c r="T49" s="355"/>
      <c r="U49" s="355"/>
      <c r="V49" s="233" t="s">
        <v>55</v>
      </c>
      <c r="W49" s="234">
        <f>IF($R$3="Oui",(M49*AE54*Z42+(R49*AE54*6.2)),0)</f>
        <v>0</v>
      </c>
      <c r="X49" s="235" t="s">
        <v>55</v>
      </c>
      <c r="Y49" s="23"/>
      <c r="Z49" s="364">
        <v>0.23</v>
      </c>
      <c r="AA49" s="365"/>
      <c r="AB49" s="348" t="s">
        <v>71</v>
      </c>
      <c r="AC49" s="349"/>
      <c r="AD49" s="349"/>
      <c r="AE49" s="135">
        <f>1-AE48</f>
        <v>0.59619999999999995</v>
      </c>
      <c r="AG49" s="358" t="s">
        <v>73</v>
      </c>
      <c r="AH49" s="359"/>
      <c r="AI49" s="359"/>
      <c r="AJ49" s="359"/>
      <c r="AK49" s="121">
        <f>AK48*0.9645*AE49*1.45</f>
        <v>7.1370886606880939</v>
      </c>
      <c r="AV49" s="18" t="s">
        <v>263</v>
      </c>
      <c r="AW49" s="218">
        <f>IF(($R$41=AV49)*AND($R$42&lt;&gt;""),VLOOKUP($R$42,'Barèmes police'!$AX$40:$AY$70,2),0)</f>
        <v>0</v>
      </c>
    </row>
    <row r="50" spans="2:49" ht="12.75" customHeight="1" x14ac:dyDescent="0.2">
      <c r="B50" s="372" t="s">
        <v>207</v>
      </c>
      <c r="C50" s="373"/>
      <c r="D50" s="373"/>
      <c r="E50" s="373"/>
      <c r="F50" s="373"/>
      <c r="G50" s="374"/>
      <c r="J50" s="236" t="s">
        <v>222</v>
      </c>
      <c r="K50" s="237"/>
      <c r="L50" s="238"/>
      <c r="M50" s="244">
        <f>COUNTIF($T$8:$T$38,"1")</f>
        <v>0</v>
      </c>
      <c r="N50" s="225"/>
      <c r="O50" s="362" t="s">
        <v>226</v>
      </c>
      <c r="P50" s="363"/>
      <c r="Q50" s="363"/>
      <c r="R50" s="245">
        <f>COUNTIF($T$8:$T$38,"2")</f>
        <v>0</v>
      </c>
      <c r="S50" s="354">
        <f>IF($R$2="Oui",(M50*AE55*Z42+(R50*Z42*3.48)),0)</f>
        <v>0</v>
      </c>
      <c r="T50" s="355"/>
      <c r="U50" s="355"/>
      <c r="V50" s="233" t="s">
        <v>55</v>
      </c>
      <c r="W50" s="234">
        <f>IF($R$3="Oui",(M50*AE55*Z42+(R50*AE55*6.2)),0)</f>
        <v>0</v>
      </c>
      <c r="X50" s="235" t="s">
        <v>55</v>
      </c>
      <c r="Y50" s="23"/>
      <c r="Z50" s="246"/>
      <c r="AA50" s="246"/>
      <c r="AB50" s="148"/>
      <c r="AC50" s="148"/>
      <c r="AD50" s="148"/>
      <c r="AE50" s="153"/>
      <c r="AG50" s="147"/>
      <c r="AH50" s="148"/>
      <c r="AI50" s="148"/>
      <c r="AJ50" s="148"/>
      <c r="AK50" s="121"/>
      <c r="AV50" s="18" t="s">
        <v>264</v>
      </c>
      <c r="AW50" s="218">
        <f>IF(($R$41=AV50)*AND($R$42&lt;&gt;""),VLOOKUP($R$42,'Barèmes police'!$BA$40:$BB$70,2),0)</f>
        <v>0</v>
      </c>
    </row>
    <row r="51" spans="2:49" ht="12.75" customHeight="1" x14ac:dyDescent="0.2">
      <c r="B51" s="395" t="s">
        <v>208</v>
      </c>
      <c r="C51" s="396"/>
      <c r="D51" s="396"/>
      <c r="E51" s="396"/>
      <c r="F51" s="151"/>
      <c r="G51" s="152"/>
      <c r="J51" s="236" t="s">
        <v>227</v>
      </c>
      <c r="K51" s="237"/>
      <c r="L51" s="238"/>
      <c r="M51" s="239">
        <f>IF(P38-F52&gt;=1/49,IF(AND(O38="+",F48="Oui"),IF(MINUTE(P38-F52)&gt;=30,P38-F52+(TIME(1,0,0))-TIME(0,MINUTE(P38-F52),0),P38-F52-TIME(0,MINUTE(P38-F52),0)),0),0)</f>
        <v>0</v>
      </c>
      <c r="N51" s="225" t="s">
        <v>190</v>
      </c>
      <c r="O51" s="360" t="s">
        <v>253</v>
      </c>
      <c r="P51" s="360"/>
      <c r="Q51" s="360"/>
      <c r="R51" s="361"/>
      <c r="S51" s="354">
        <f>IF($R$2="Oui",M51*AK44*24,0)</f>
        <v>0</v>
      </c>
      <c r="T51" s="355"/>
      <c r="U51" s="355"/>
      <c r="V51" s="233" t="s">
        <v>55</v>
      </c>
      <c r="W51" s="234">
        <f>IF($R$3="Oui",M51*AK51*24,0)</f>
        <v>0</v>
      </c>
      <c r="X51" s="235" t="s">
        <v>55</v>
      </c>
      <c r="Y51" s="23"/>
      <c r="Z51" s="246"/>
      <c r="AA51" s="246"/>
      <c r="AG51" s="358" t="s">
        <v>74</v>
      </c>
      <c r="AH51" s="359"/>
      <c r="AI51" s="359"/>
      <c r="AJ51" s="359"/>
      <c r="AK51" s="121">
        <f>(W42*1.2434/1850)*0.9645*AE49</f>
        <v>5.1824281750374874</v>
      </c>
      <c r="AV51" s="18" t="s">
        <v>265</v>
      </c>
      <c r="AW51" s="218">
        <f>IF(($R$41=AV51)*AND($R$42&lt;&gt;""),VLOOKUP($R$42,'Barèmes police'!$BD$40:$BE$70,2),0)</f>
        <v>0</v>
      </c>
    </row>
    <row r="52" spans="2:49" ht="12.75" customHeight="1" x14ac:dyDescent="0.2">
      <c r="B52" s="385" t="s">
        <v>209</v>
      </c>
      <c r="C52" s="386"/>
      <c r="D52" s="386"/>
      <c r="E52" s="386"/>
      <c r="F52" s="356">
        <v>0</v>
      </c>
      <c r="G52" s="357"/>
      <c r="J52" s="236" t="s">
        <v>228</v>
      </c>
      <c r="K52" s="237"/>
      <c r="L52" s="238"/>
      <c r="M52" s="247">
        <f>SUM(AT8:AT39)</f>
        <v>0</v>
      </c>
      <c r="N52" s="225" t="s">
        <v>214</v>
      </c>
      <c r="O52" s="360"/>
      <c r="P52" s="360"/>
      <c r="Q52" s="360"/>
      <c r="R52" s="361"/>
      <c r="S52" s="354">
        <f>IF($R$2="Oui",M52*6.7*Z42,0)</f>
        <v>0</v>
      </c>
      <c r="T52" s="355"/>
      <c r="U52" s="355"/>
      <c r="V52" s="233" t="s">
        <v>55</v>
      </c>
      <c r="W52" s="234">
        <f>IF($R$3="Oui",M52*6.7*Z42,0)</f>
        <v>0</v>
      </c>
      <c r="X52" s="235" t="s">
        <v>55</v>
      </c>
      <c r="Y52" s="23"/>
      <c r="Z52" s="246"/>
      <c r="AA52" s="246"/>
      <c r="AB52" s="352" t="s">
        <v>79</v>
      </c>
      <c r="AC52" s="353"/>
      <c r="AD52" s="353"/>
      <c r="AE52" s="133">
        <v>1.24</v>
      </c>
      <c r="AG52" s="348" t="s">
        <v>76</v>
      </c>
      <c r="AH52" s="349"/>
      <c r="AI52" s="349"/>
      <c r="AJ52" s="349"/>
      <c r="AK52" s="131">
        <f>AK48*0.325*0.9645*AE49</f>
        <v>1.5996922860162968</v>
      </c>
      <c r="AV52" s="18" t="s">
        <v>266</v>
      </c>
      <c r="AW52" s="218">
        <f>IF(($R$41=AV52)*AND($R$42&lt;&gt;""),VLOOKUP($R$42,'Barèmes police'!$BG$40:$BH$70,2),0)</f>
        <v>0</v>
      </c>
    </row>
    <row r="53" spans="2:49" ht="12.75" customHeight="1" x14ac:dyDescent="0.2">
      <c r="B53" s="387" t="s">
        <v>210</v>
      </c>
      <c r="C53" s="388"/>
      <c r="D53" s="388"/>
      <c r="E53" s="388"/>
      <c r="F53" s="350">
        <v>0</v>
      </c>
      <c r="G53" s="351"/>
      <c r="J53" s="236" t="s">
        <v>229</v>
      </c>
      <c r="K53" s="237"/>
      <c r="L53" s="238"/>
      <c r="M53" s="244">
        <f>SUM(Y8:Y39)</f>
        <v>0</v>
      </c>
      <c r="N53" s="237" t="s">
        <v>56</v>
      </c>
      <c r="O53" s="248"/>
      <c r="P53" s="248"/>
      <c r="Q53" s="248"/>
      <c r="R53" s="249"/>
      <c r="S53" s="354">
        <f>IF($R$2="Oui",M53*Z49,0)</f>
        <v>0</v>
      </c>
      <c r="T53" s="355"/>
      <c r="U53" s="355"/>
      <c r="V53" s="233" t="s">
        <v>55</v>
      </c>
      <c r="W53" s="234">
        <f>IF($R$3="Oui",M53*Z49,0)</f>
        <v>0</v>
      </c>
      <c r="X53" s="235" t="s">
        <v>55</v>
      </c>
      <c r="Y53" s="23"/>
      <c r="Z53" s="246"/>
      <c r="AA53" s="246"/>
      <c r="AB53" s="358" t="s">
        <v>80</v>
      </c>
      <c r="AC53" s="359"/>
      <c r="AD53" s="359"/>
      <c r="AE53" s="121">
        <v>2.48</v>
      </c>
    </row>
    <row r="54" spans="2:49" ht="12.75" customHeight="1" x14ac:dyDescent="0.2">
      <c r="J54" s="236" t="s">
        <v>244</v>
      </c>
      <c r="K54" s="237"/>
      <c r="L54" s="238"/>
      <c r="M54" s="239">
        <f>IF(MINUTE(SUM(Z8:Z39))&gt;=30,SUM(Z8:Z39)+(TIME(1,0,0))-TIME(0,MINUTE(SUM(Z8:Z39)),0),SUM(Z8:Z39)-TIME(0,MINUTE(SUM(Z8:Z39)),0))</f>
        <v>0</v>
      </c>
      <c r="N54" s="237" t="s">
        <v>190</v>
      </c>
      <c r="O54" s="248"/>
      <c r="P54" s="248"/>
      <c r="Q54" s="248"/>
      <c r="R54" s="249"/>
      <c r="S54" s="354">
        <f>IF($R$2="Oui",M54*AK54*24,0)</f>
        <v>0</v>
      </c>
      <c r="T54" s="355"/>
      <c r="U54" s="355"/>
      <c r="V54" s="233" t="s">
        <v>55</v>
      </c>
      <c r="W54" s="234">
        <f>IF($R$3="Oui",M54*AK54*24,0)</f>
        <v>0</v>
      </c>
      <c r="X54" s="235" t="s">
        <v>55</v>
      </c>
      <c r="Y54" s="23"/>
      <c r="Z54" s="246"/>
      <c r="AA54" s="246"/>
      <c r="AB54" s="358" t="s">
        <v>81</v>
      </c>
      <c r="AC54" s="359"/>
      <c r="AD54" s="359"/>
      <c r="AE54" s="121">
        <v>2.48</v>
      </c>
      <c r="AG54" s="352" t="s">
        <v>83</v>
      </c>
      <c r="AH54" s="353"/>
      <c r="AI54" s="353"/>
      <c r="AJ54" s="353"/>
      <c r="AK54" s="130">
        <f>AK44/24</f>
        <v>0.38846514804107962</v>
      </c>
    </row>
    <row r="55" spans="2:49" ht="12.75" customHeight="1" x14ac:dyDescent="0.2">
      <c r="J55" s="236" t="s">
        <v>230</v>
      </c>
      <c r="K55" s="237"/>
      <c r="L55" s="238"/>
      <c r="M55" s="239">
        <f>IF(MINUTE(SUM(AA8:AA39))&gt;=30,SUM(AA8:AA39)+(TIME(1,0,0))-TIME(0,MINUTE(SUM(AA8:AA39)),0),SUM(AA8:AA39)-TIME(0,MINUTE(SUM(AA8:AA39)),0))</f>
        <v>0</v>
      </c>
      <c r="N55" s="237" t="s">
        <v>190</v>
      </c>
      <c r="O55" s="248"/>
      <c r="P55" s="248"/>
      <c r="Q55" s="248"/>
      <c r="R55" s="249"/>
      <c r="S55" s="354">
        <f>IF($R$2="Oui",M55*AK55*24,0)</f>
        <v>0</v>
      </c>
      <c r="T55" s="355"/>
      <c r="U55" s="355"/>
      <c r="V55" s="233" t="s">
        <v>55</v>
      </c>
      <c r="W55" s="234">
        <f>IF($R$3="Oui",M55*AK55*24,0)</f>
        <v>0</v>
      </c>
      <c r="X55" s="235" t="s">
        <v>55</v>
      </c>
      <c r="Y55" s="23"/>
      <c r="Z55" s="246"/>
      <c r="AA55" s="246"/>
      <c r="AB55" s="348" t="s">
        <v>82</v>
      </c>
      <c r="AC55" s="349"/>
      <c r="AD55" s="349"/>
      <c r="AE55" s="131">
        <v>1.74</v>
      </c>
      <c r="AG55" s="348" t="s">
        <v>84</v>
      </c>
      <c r="AH55" s="349"/>
      <c r="AI55" s="349"/>
      <c r="AJ55" s="349"/>
      <c r="AK55" s="132">
        <f>AK44/15</f>
        <v>0.62154423686572735</v>
      </c>
    </row>
    <row r="56" spans="2:49" ht="12.75" customHeight="1" x14ac:dyDescent="0.2">
      <c r="J56" s="223" t="s">
        <v>57</v>
      </c>
      <c r="K56" s="224"/>
      <c r="L56" s="250"/>
      <c r="M56" s="251">
        <f>SUM(AS8:AS39)</f>
        <v>0</v>
      </c>
      <c r="N56" s="225" t="s">
        <v>214</v>
      </c>
      <c r="O56" s="252"/>
      <c r="P56" s="252"/>
      <c r="Q56" s="252"/>
      <c r="R56" s="253"/>
      <c r="S56" s="471">
        <f>IF($R$2="Oui",M56*2.81*Z42*AE49,0)</f>
        <v>0</v>
      </c>
      <c r="T56" s="472"/>
      <c r="U56" s="472"/>
      <c r="V56" s="233" t="s">
        <v>55</v>
      </c>
      <c r="W56" s="234">
        <f>IF($R$3="Oui",M56*2.81*Z42*AE49,0)</f>
        <v>0</v>
      </c>
      <c r="X56" s="235" t="s">
        <v>55</v>
      </c>
      <c r="Y56" s="23"/>
      <c r="Z56" s="246"/>
      <c r="AA56" s="246"/>
    </row>
    <row r="57" spans="2:49" ht="12.75" customHeight="1" x14ac:dyDescent="0.2">
      <c r="J57" s="254"/>
      <c r="K57" s="254"/>
      <c r="L57" s="24"/>
      <c r="M57" s="255"/>
      <c r="N57" s="256"/>
      <c r="O57" s="257"/>
      <c r="P57" s="23"/>
      <c r="Q57" s="258"/>
      <c r="R57" s="259" t="s">
        <v>262</v>
      </c>
      <c r="S57" s="473">
        <f>IF($R$2="Oui",SUM(S43:U56),0)</f>
        <v>0</v>
      </c>
      <c r="T57" s="474"/>
      <c r="U57" s="474"/>
      <c r="V57" s="260" t="s">
        <v>55</v>
      </c>
      <c r="W57" s="261">
        <f>IF($R$3="Oui",SUM(W43:W56),0)</f>
        <v>0</v>
      </c>
      <c r="X57" s="262" t="s">
        <v>55</v>
      </c>
      <c r="Y57" s="23"/>
      <c r="Z57" s="246"/>
      <c r="AA57" s="246"/>
    </row>
    <row r="58" spans="2:49" ht="12.75" customHeight="1" x14ac:dyDescent="0.2">
      <c r="Y58" s="17"/>
      <c r="AB58" s="448" t="s">
        <v>164</v>
      </c>
      <c r="AC58" s="449"/>
      <c r="AD58" s="450"/>
    </row>
    <row r="59" spans="2:49" ht="12.75" customHeight="1" x14ac:dyDescent="0.2">
      <c r="AB59" s="451">
        <f>Configuration!$H$30</f>
        <v>0</v>
      </c>
      <c r="AC59" s="452"/>
      <c r="AD59" s="453"/>
    </row>
    <row r="70" spans="48:49" ht="12.75" customHeight="1" x14ac:dyDescent="0.2">
      <c r="AV70" s="141" t="s">
        <v>270</v>
      </c>
      <c r="AW70" s="290">
        <f>IF(($R$41=AV70)*AND($R$42&lt;&gt;""),VLOOKUP($R$42,'Barèmes CALOG'!$B$4:$C$34,2),0)</f>
        <v>0</v>
      </c>
    </row>
    <row r="71" spans="48:49" ht="12.75" customHeight="1" x14ac:dyDescent="0.2">
      <c r="AV71" s="141" t="s">
        <v>271</v>
      </c>
      <c r="AW71" s="290">
        <f>IF(($R$41=AV71)*AND($R$42&lt;&gt;""),VLOOKUP($R$42,'Barèmes CALOG'!$E$4:$F$34,2),0)</f>
        <v>0</v>
      </c>
    </row>
    <row r="72" spans="48:49" ht="12.75" customHeight="1" x14ac:dyDescent="0.2">
      <c r="AV72" s="141" t="s">
        <v>272</v>
      </c>
      <c r="AW72" s="290">
        <f>IF(($R$41=AV72)*AND($R$42&lt;&gt;""),VLOOKUP($R$42,'Barèmes CALOG'!$H$4:$I$34,2),0)</f>
        <v>0</v>
      </c>
    </row>
    <row r="73" spans="48:49" ht="12.75" customHeight="1" x14ac:dyDescent="0.2">
      <c r="AV73" s="141" t="s">
        <v>273</v>
      </c>
      <c r="AW73" s="290">
        <f>IF(($R$41=AV73)*AND($R$42&lt;&gt;""),VLOOKUP($R$42,'Barèmes CALOG'!$K$4:$L$34,2),0)</f>
        <v>0</v>
      </c>
    </row>
    <row r="74" spans="48:49" ht="12.75" customHeight="1" x14ac:dyDescent="0.2">
      <c r="AV74" s="141" t="s">
        <v>274</v>
      </c>
      <c r="AW74" s="290">
        <f>IF(($R$41=AV74)*AND($R$42&lt;&gt;""),VLOOKUP($R$42,'Barèmes CALOG'!$N$4:$O$34,2),0)</f>
        <v>0</v>
      </c>
    </row>
    <row r="75" spans="48:49" ht="12.75" customHeight="1" x14ac:dyDescent="0.2">
      <c r="AV75" s="141" t="s">
        <v>275</v>
      </c>
      <c r="AW75" s="290">
        <f>IF(($R$41=AV75)*AND($R$42&lt;&gt;""),VLOOKUP($R$42,'Barèmes CALOG'!$Q$4:$R$34,2),0)</f>
        <v>0</v>
      </c>
    </row>
    <row r="76" spans="48:49" ht="12.75" customHeight="1" x14ac:dyDescent="0.2">
      <c r="AV76" s="141" t="s">
        <v>276</v>
      </c>
      <c r="AW76" s="290">
        <f>IF(($R$41=AV76)*AND($R$42&lt;&gt;""),VLOOKUP($R$42,'Barèmes CALOG'!$T$4:$U$34,2),0)</f>
        <v>0</v>
      </c>
    </row>
    <row r="77" spans="48:49" ht="12.75" customHeight="1" x14ac:dyDescent="0.2">
      <c r="AV77" s="141" t="s">
        <v>277</v>
      </c>
      <c r="AW77" s="290">
        <f>IF(($R$41=AV77)*AND($R$42&lt;&gt;""),VLOOKUP($R$42,'Barèmes CALOG'!$W$4:$X$34,2),0)</f>
        <v>0</v>
      </c>
    </row>
    <row r="78" spans="48:49" ht="12.75" customHeight="1" x14ac:dyDescent="0.2">
      <c r="AV78" s="141" t="s">
        <v>278</v>
      </c>
      <c r="AW78" s="290">
        <f>IF(($R$41=AV78)*AND($R$42&lt;&gt;""),VLOOKUP($R$42,'Barèmes CALOG'!$Z$4:$AA$34,2),0)</f>
        <v>0</v>
      </c>
    </row>
    <row r="79" spans="48:49" ht="12.75" customHeight="1" x14ac:dyDescent="0.2">
      <c r="AV79" s="141" t="s">
        <v>279</v>
      </c>
      <c r="AW79" s="290">
        <f>IF(($R$41=AV79)*AND($R$42&lt;&gt;""),VLOOKUP($R$42,'Barèmes CALOG'!$AC$4:$AD$34,2),0)</f>
        <v>0</v>
      </c>
    </row>
    <row r="80" spans="48:49" ht="12.75" customHeight="1" x14ac:dyDescent="0.2">
      <c r="AV80" s="141" t="s">
        <v>280</v>
      </c>
      <c r="AW80" s="290">
        <f>IF(($R$41=AV80)*AND($R$42&lt;&gt;""),VLOOKUP($R$42,'Barèmes CALOG'!$AF$4:$AG$34,2),0)</f>
        <v>0</v>
      </c>
    </row>
    <row r="81" spans="48:49" ht="12.75" customHeight="1" x14ac:dyDescent="0.2">
      <c r="AV81" s="141" t="s">
        <v>281</v>
      </c>
      <c r="AW81" s="290">
        <f>IF(($R$41=AV81)*AND($R$42&lt;&gt;""),VLOOKUP($R$42,'Barèmes CALOG'!$AI$4:$AJ$34,2),0)</f>
        <v>0</v>
      </c>
    </row>
    <row r="82" spans="48:49" ht="12.75" customHeight="1" x14ac:dyDescent="0.2">
      <c r="AV82" s="141" t="s">
        <v>282</v>
      </c>
      <c r="AW82" s="290">
        <f>IF(($R$41=AV82)*AND($R$42&lt;&gt;""),VLOOKUP($R$42,'Barèmes CALOG'!$AL$4:$AM$34,2),0)</f>
        <v>0</v>
      </c>
    </row>
    <row r="83" spans="48:49" ht="12.75" customHeight="1" x14ac:dyDescent="0.2">
      <c r="AV83" s="141" t="s">
        <v>283</v>
      </c>
      <c r="AW83" s="290">
        <f>IF(($R$41=AV83)*AND($R$42&lt;&gt;""),VLOOKUP($R$42,'Barèmes CALOG'!$AO$4:$AP$34,2),0)</f>
        <v>0</v>
      </c>
    </row>
    <row r="84" spans="48:49" ht="12.75" customHeight="1" x14ac:dyDescent="0.2">
      <c r="AV84" s="141" t="s">
        <v>284</v>
      </c>
      <c r="AW84" s="290">
        <f>IF(($R$41=AV84)*AND($R$42&lt;&gt;""),VLOOKUP($R$42,'Barèmes CALOG'!$AR$4:$AS$34,2),0)</f>
        <v>0</v>
      </c>
    </row>
    <row r="85" spans="48:49" ht="12.75" customHeight="1" x14ac:dyDescent="0.2">
      <c r="AV85" s="141" t="s">
        <v>285</v>
      </c>
      <c r="AW85" s="290">
        <f>IF(($R$41=AV85)*AND($R$42&lt;&gt;""),VLOOKUP($R$42,'Barèmes CALOG'!$AU$4:$AV$34,2),0)</f>
        <v>0</v>
      </c>
    </row>
    <row r="86" spans="48:49" ht="12.75" customHeight="1" x14ac:dyDescent="0.2">
      <c r="AV86" s="141" t="s">
        <v>286</v>
      </c>
      <c r="AW86" s="290">
        <f>IF(($R$41=AV86)*AND($R$42&lt;&gt;""),VLOOKUP($R$42,'Barèmes CALOG'!$AX$4:$AY$34,2),0)</f>
        <v>0</v>
      </c>
    </row>
    <row r="87" spans="48:49" ht="12.75" customHeight="1" x14ac:dyDescent="0.2">
      <c r="AV87" s="141" t="s">
        <v>287</v>
      </c>
      <c r="AW87" s="290">
        <f>IF(($R$41=AV87)*AND($R$42&lt;&gt;""),VLOOKUP($R$42,'Barèmes CALOG'!$BA$4:$BB$34,2),0)</f>
        <v>0</v>
      </c>
    </row>
    <row r="88" spans="48:49" ht="12.75" customHeight="1" x14ac:dyDescent="0.2">
      <c r="AV88" s="141" t="s">
        <v>288</v>
      </c>
      <c r="AW88" s="290">
        <f>IF(($R$41=AV88)*AND($R$42&lt;&gt;""),VLOOKUP($R$42,'Barèmes CALOG'!$BD$4:$BE$34,2),0)</f>
        <v>0</v>
      </c>
    </row>
    <row r="89" spans="48:49" ht="12.75" customHeight="1" x14ac:dyDescent="0.2">
      <c r="AV89" s="141" t="s">
        <v>289</v>
      </c>
      <c r="AW89" s="290">
        <f>IF(($R$41=AV89)*AND($R$42&lt;&gt;""),VLOOKUP($R$42,'Barèmes CALOG'!$BG$4:$BH$34,2),0)</f>
        <v>0</v>
      </c>
    </row>
    <row r="90" spans="48:49" ht="12.75" customHeight="1" x14ac:dyDescent="0.2">
      <c r="AV90" s="141" t="s">
        <v>290</v>
      </c>
      <c r="AW90" s="290">
        <f>IF(($R$41=AV90)*AND($R$42&lt;&gt;""),VLOOKUP($R$42,'Barèmes CALOG'!$BJ$4:$BK$34,2),0)</f>
        <v>0</v>
      </c>
    </row>
    <row r="91" spans="48:49" ht="12.75" customHeight="1" x14ac:dyDescent="0.2">
      <c r="AV91" s="141" t="s">
        <v>291</v>
      </c>
      <c r="AW91" s="290">
        <f>IF(($R$41=AV91)*AND($R$42&lt;&gt;""),VLOOKUP($R$42,'Barèmes CALOG'!$BM$4:$BN$34,2),0)</f>
        <v>0</v>
      </c>
    </row>
    <row r="92" spans="48:49" ht="12.75" customHeight="1" x14ac:dyDescent="0.2">
      <c r="AV92" s="141" t="s">
        <v>292</v>
      </c>
      <c r="AW92" s="290">
        <f>IF(($R$41=AV92)*AND($R$42&lt;&gt;""),VLOOKUP($R$42,'Barèmes CALOG'!$BP$4:$BQ$34,2),0)</f>
        <v>0</v>
      </c>
    </row>
    <row r="93" spans="48:49" ht="12.75" customHeight="1" x14ac:dyDescent="0.2">
      <c r="AV93" s="141" t="s">
        <v>293</v>
      </c>
      <c r="AW93" s="290">
        <f>IF(($R$41=AV93)*AND($R$42&lt;&gt;""),VLOOKUP($R$42,'Barèmes CALOG'!$BS$4:$BT$34,2),0)</f>
        <v>0</v>
      </c>
    </row>
    <row r="94" spans="48:49" ht="12.75" customHeight="1" x14ac:dyDescent="0.2">
      <c r="AV94" s="141" t="s">
        <v>294</v>
      </c>
      <c r="AW94" s="290">
        <f>IF(($R$41=AV94)*AND($R$42&lt;&gt;""),VLOOKUP($R$42,'Barèmes CALOG'!$BV$4:$BW$34,2),0)</f>
        <v>0</v>
      </c>
    </row>
    <row r="95" spans="48:49" ht="12.75" customHeight="1" x14ac:dyDescent="0.2">
      <c r="AV95" s="141" t="s">
        <v>295</v>
      </c>
      <c r="AW95" s="290">
        <f>IF(($R$41=AV95)*AND($R$42&lt;&gt;""),VLOOKUP($R$42,'Barèmes CALOG'!$BY$4:$BZ$34,2),0)</f>
        <v>0</v>
      </c>
    </row>
    <row r="96" spans="48:49" ht="12.75" customHeight="1" x14ac:dyDescent="0.2">
      <c r="AV96" s="141" t="s">
        <v>296</v>
      </c>
      <c r="AW96" s="290">
        <f>IF(($R$41=AV96)*AND($R$42&lt;&gt;""),VLOOKUP($R$42,'Barèmes CALOG'!$CB$4:$CC$34,2),0)</f>
        <v>0</v>
      </c>
    </row>
    <row r="97" spans="48:49" ht="12.75" customHeight="1" x14ac:dyDescent="0.2">
      <c r="AV97" s="141" t="s">
        <v>297</v>
      </c>
      <c r="AW97" s="290">
        <f>IF(($R$41=AV97)*AND($R$42&lt;&gt;""),VLOOKUP($R$42,'Barèmes CALOG'!$CE$4:$CF$34,2),0)</f>
        <v>0</v>
      </c>
    </row>
    <row r="98" spans="48:49" ht="12.75" customHeight="1" x14ac:dyDescent="0.2">
      <c r="AV98" s="141" t="s">
        <v>298</v>
      </c>
      <c r="AW98" s="290">
        <f>IF(($R$41=AV98)*AND($R$42&lt;&gt;""),VLOOKUP($R$42,'Barèmes CALOG'!$CH$4:$CI$34,2),0)</f>
        <v>0</v>
      </c>
    </row>
    <row r="99" spans="48:49" ht="12.75" customHeight="1" x14ac:dyDescent="0.2">
      <c r="AV99" s="141" t="s">
        <v>299</v>
      </c>
      <c r="AW99" s="290">
        <f>IF(($R$41=AV99)*AND($R$42&lt;&gt;""),VLOOKUP($R$42,'Barèmes CALOG'!$CK$4:$CL$34,2),0)</f>
        <v>0</v>
      </c>
    </row>
    <row r="100" spans="48:49" ht="12.75" customHeight="1" x14ac:dyDescent="0.2">
      <c r="AV100" s="141" t="s">
        <v>300</v>
      </c>
      <c r="AW100" s="290">
        <f>IF(($R$41=AV100)*AND($R$42&lt;&gt;""),VLOOKUP($R$42,'Barèmes CALOG'!$CN$4:$CO$34,2),0)</f>
        <v>0</v>
      </c>
    </row>
    <row r="101" spans="48:49" ht="12.75" customHeight="1" x14ac:dyDescent="0.2">
      <c r="AV101" s="141" t="s">
        <v>301</v>
      </c>
      <c r="AW101" s="290">
        <f>IF(($R$41=AV101)*AND($R$42&lt;&gt;""),VLOOKUP($R$42,'Barèmes CALOG'!$CQ$4:$CR$34,2),0)</f>
        <v>0</v>
      </c>
    </row>
    <row r="102" spans="48:49" ht="12.75" customHeight="1" x14ac:dyDescent="0.2">
      <c r="AV102" s="141" t="s">
        <v>302</v>
      </c>
      <c r="AW102" s="290">
        <f>IF(($R$41=AV102)*AND($R$42&lt;&gt;""),VLOOKUP($R$42,'Barèmes CALOG'!$CT$4:$CU$34,2),0)</f>
        <v>0</v>
      </c>
    </row>
    <row r="103" spans="48:49" ht="12.75" customHeight="1" x14ac:dyDescent="0.2">
      <c r="AV103" s="141" t="s">
        <v>303</v>
      </c>
      <c r="AW103" s="290">
        <f>IF(($R$41=AV103)*AND($R$42&lt;&gt;""),VLOOKUP($R$42,'Barèmes CALOG'!$CW$4:$CX$34,2),0)</f>
        <v>0</v>
      </c>
    </row>
    <row r="104" spans="48:49" ht="12.75" customHeight="1" x14ac:dyDescent="0.2">
      <c r="AV104" s="141" t="s">
        <v>304</v>
      </c>
      <c r="AW104" s="290">
        <f>IF(($R$41=AV104)*AND($R$42&lt;&gt;""),VLOOKUP($R$42,'Barèmes CALOG'!$B$40:$C$70,2),0)</f>
        <v>0</v>
      </c>
    </row>
    <row r="105" spans="48:49" ht="12.75" customHeight="1" x14ac:dyDescent="0.2">
      <c r="AV105" s="141" t="s">
        <v>305</v>
      </c>
      <c r="AW105" s="290">
        <f>IF(($R$41=AV105)*AND($R$42&lt;&gt;""),VLOOKUP($R$42,'Barèmes CALOG'!$E$40:$F$70,2),0)</f>
        <v>0</v>
      </c>
    </row>
    <row r="106" spans="48:49" ht="12.75" customHeight="1" x14ac:dyDescent="0.2">
      <c r="AV106" s="141" t="s">
        <v>306</v>
      </c>
      <c r="AW106" s="290">
        <f>IF(($R$41=AV106)*AND($R$42&lt;&gt;""),VLOOKUP($R$42,'Barèmes CALOG'!$H$40:$I$70,2),0)</f>
        <v>0</v>
      </c>
    </row>
    <row r="107" spans="48:49" ht="12.75" customHeight="1" x14ac:dyDescent="0.2">
      <c r="AV107" s="141" t="s">
        <v>307</v>
      </c>
      <c r="AW107" s="290">
        <f>IF(($R$41=AV107)*AND($R$42&lt;&gt;""),VLOOKUP($R$42,'Barèmes CALOG'!$K$40:$L$70,2),0)</f>
        <v>0</v>
      </c>
    </row>
    <row r="108" spans="48:49" ht="12.75" customHeight="1" x14ac:dyDescent="0.2">
      <c r="AV108" s="141" t="s">
        <v>308</v>
      </c>
      <c r="AW108" s="290">
        <f>IF(($R$41=AV108)*AND($R$42&lt;&gt;""),VLOOKUP($R$42,'Barèmes CALOG'!$N$40:$O$70,2),0)</f>
        <v>0</v>
      </c>
    </row>
    <row r="109" spans="48:49" ht="12.75" customHeight="1" x14ac:dyDescent="0.2">
      <c r="AV109" s="141" t="s">
        <v>309</v>
      </c>
      <c r="AW109" s="290">
        <f>IF(($R$41=AV109)*AND($R$42&lt;&gt;""),VLOOKUP($R$42,'Barèmes CALOG'!$Q$40:$R$70,2),0)</f>
        <v>0</v>
      </c>
    </row>
    <row r="110" spans="48:49" ht="12.75" customHeight="1" x14ac:dyDescent="0.2">
      <c r="AV110" s="141" t="s">
        <v>310</v>
      </c>
      <c r="AW110" s="290">
        <f>IF(($R$41=AV110)*AND($R$42&lt;&gt;""),VLOOKUP($R$42,'Barèmes CALOG'!$T$40:$U$70,2),0)</f>
        <v>0</v>
      </c>
    </row>
    <row r="111" spans="48:49" ht="12.75" customHeight="1" x14ac:dyDescent="0.2">
      <c r="AV111" s="141" t="s">
        <v>311</v>
      </c>
      <c r="AW111" s="290">
        <f>IF(($R$41=AV111)*AND($R$42&lt;&gt;""),VLOOKUP($R$42,'Barèmes CALOG'!$W$40:$X$70,2),0)</f>
        <v>0</v>
      </c>
    </row>
    <row r="112" spans="48:49" ht="12.75" customHeight="1" x14ac:dyDescent="0.2">
      <c r="AV112" s="141" t="s">
        <v>312</v>
      </c>
      <c r="AW112" s="290">
        <f>IF(($R$41=AV112)*AND($R$42&lt;&gt;""),VLOOKUP($R$42,'Barèmes CALOG'!$Z$40:$AA$70,2),0)</f>
        <v>0</v>
      </c>
    </row>
    <row r="113" spans="48:49" ht="12.75" customHeight="1" x14ac:dyDescent="0.2">
      <c r="AV113" s="141" t="s">
        <v>313</v>
      </c>
      <c r="AW113" s="290">
        <f>IF(($R$41=AV113)*AND($R$42&lt;&gt;""),VLOOKUP($R$42,'Barèmes CALOG'!$AC$40:$AD$70,2),0)</f>
        <v>0</v>
      </c>
    </row>
    <row r="114" spans="48:49" ht="12.75" customHeight="1" x14ac:dyDescent="0.2">
      <c r="AV114" s="141" t="s">
        <v>314</v>
      </c>
      <c r="AW114" s="290">
        <f>IF(($R$41=AV114)*AND($R$42&lt;&gt;""),VLOOKUP($R$42,'Barèmes CALOG'!$AF$40:$AG$70,2),0)</f>
        <v>0</v>
      </c>
    </row>
    <row r="115" spans="48:49" ht="12.75" customHeight="1" x14ac:dyDescent="0.2">
      <c r="AV115" s="141" t="s">
        <v>315</v>
      </c>
      <c r="AW115" s="290">
        <f>IF(($R$41=AV115)*AND($R$42&lt;&gt;""),VLOOKUP($R$42,'Barèmes CALOG'!$AI$40:$AJ$70,2),0)</f>
        <v>0</v>
      </c>
    </row>
    <row r="116" spans="48:49" ht="12.75" customHeight="1" x14ac:dyDescent="0.2">
      <c r="AV116" s="141" t="s">
        <v>316</v>
      </c>
      <c r="AW116" s="290">
        <f>IF(($R$41=AV116)*AND($R$42&lt;&gt;""),VLOOKUP($R$42,'Barèmes CALOG'!$AL$40:$AM$70,2),0)</f>
        <v>0</v>
      </c>
    </row>
    <row r="117" spans="48:49" ht="12.75" customHeight="1" x14ac:dyDescent="0.2">
      <c r="AV117" s="141" t="s">
        <v>317</v>
      </c>
      <c r="AW117" s="290">
        <f>IF(($R$41=AV117)*AND($R$42&lt;&gt;""),VLOOKUP($R$42,'Barèmes CALOG'!$AO$40:$AP$70,2),0)</f>
        <v>0</v>
      </c>
    </row>
    <row r="118" spans="48:49" ht="12.75" customHeight="1" x14ac:dyDescent="0.2">
      <c r="AV118" s="141" t="s">
        <v>318</v>
      </c>
      <c r="AW118" s="290">
        <f>IF(($R$41=AV118)*AND($R$42&lt;&gt;""),VLOOKUP($R$42,'Barèmes CALOG'!$AR$40:$AS$70,2),0)</f>
        <v>0</v>
      </c>
    </row>
    <row r="119" spans="48:49" ht="12.75" customHeight="1" x14ac:dyDescent="0.2">
      <c r="AV119" s="141" t="s">
        <v>319</v>
      </c>
      <c r="AW119" s="290">
        <f>IF(($R$41=AV119)*AND($R$42&lt;&gt;""),VLOOKUP($R$42,'Barèmes CALOG'!$AU$40:$AV$70,2),0)</f>
        <v>0</v>
      </c>
    </row>
    <row r="120" spans="48:49" ht="12.75" customHeight="1" x14ac:dyDescent="0.2">
      <c r="AV120" s="141" t="s">
        <v>320</v>
      </c>
      <c r="AW120" s="290">
        <f>IF(($R$41=AV120)*AND($R$42&lt;&gt;""),VLOOKUP($R$42,'Barèmes CALOG'!$AX$40:$AY$70,2),0)</f>
        <v>0</v>
      </c>
    </row>
    <row r="121" spans="48:49" ht="12.75" customHeight="1" x14ac:dyDescent="0.2">
      <c r="AV121" s="141" t="s">
        <v>321</v>
      </c>
      <c r="AW121" s="290">
        <f>IF(($R$41=AV121)*AND($R$42&lt;&gt;""),VLOOKUP($R$42,'Barèmes CALOG'!$BA$40:$BB$70,2),0)</f>
        <v>0</v>
      </c>
    </row>
    <row r="122" spans="48:49" ht="12.75" customHeight="1" x14ac:dyDescent="0.2">
      <c r="AV122" s="141" t="s">
        <v>322</v>
      </c>
      <c r="AW122" s="290">
        <f>IF(($R$41=AV122)*AND($R$42&lt;&gt;""),VLOOKUP($R$42,'Barèmes CALOG'!$BD$40:$BE$70,2),0)</f>
        <v>0</v>
      </c>
    </row>
    <row r="123" spans="48:49" ht="12.75" customHeight="1" x14ac:dyDescent="0.2">
      <c r="AV123" s="141" t="s">
        <v>323</v>
      </c>
      <c r="AW123" s="290">
        <f>IF(($R$41=AV123)*AND($R$42&lt;&gt;""),VLOOKUP($R$42,'Barèmes CALOG'!$BG$40:$BH$70,2),0)</f>
        <v>0</v>
      </c>
    </row>
    <row r="124" spans="48:49" ht="12.75" customHeight="1" x14ac:dyDescent="0.2">
      <c r="AV124" s="141" t="s">
        <v>324</v>
      </c>
      <c r="AW124" s="290">
        <f>IF(($R$41=AV124)*AND($R$42&lt;&gt;""),VLOOKUP($R$42,'Barèmes CALOG'!$BJ$40:$BK$70,2),0)</f>
        <v>0</v>
      </c>
    </row>
    <row r="125" spans="48:49" ht="12.75" customHeight="1" x14ac:dyDescent="0.2">
      <c r="AV125" s="141" t="s">
        <v>325</v>
      </c>
      <c r="AW125" s="290">
        <f>IF(($R$41=AV125)*AND($R$42&lt;&gt;""),VLOOKUP($R$42,'Barèmes CALOG'!$BM$40:$BN$70,2),0)</f>
        <v>0</v>
      </c>
    </row>
    <row r="126" spans="48:49" ht="12.75" customHeight="1" x14ac:dyDescent="0.2">
      <c r="AV126" s="141" t="s">
        <v>326</v>
      </c>
      <c r="AW126" s="290">
        <f>IF(($R$41=AV126)*AND($R$42&lt;&gt;""),VLOOKUP($R$42,'Barèmes CALOG'!$BP$40:$BQ$70,2),0)</f>
        <v>0</v>
      </c>
    </row>
    <row r="127" spans="48:49" ht="12.75" customHeight="1" x14ac:dyDescent="0.2">
      <c r="AV127" s="141" t="s">
        <v>327</v>
      </c>
      <c r="AW127" s="290">
        <f>IF(($R$41=AV127)*AND($R$42&lt;&gt;""),VLOOKUP($R$42,'Barèmes CALOG'!$BS$40:$BT$70,2),0)</f>
        <v>0</v>
      </c>
    </row>
    <row r="128" spans="48:49" ht="12.75" customHeight="1" x14ac:dyDescent="0.2">
      <c r="AV128" s="141" t="s">
        <v>328</v>
      </c>
      <c r="AW128" s="290">
        <f>IF(($R$41=AV128)*AND($R$42&lt;&gt;""),VLOOKUP($R$42,'Barèmes CALOG'!$BV$40:$BW$70,2),0)</f>
        <v>0</v>
      </c>
    </row>
    <row r="129" spans="48:49" ht="12.75" customHeight="1" x14ac:dyDescent="0.2">
      <c r="AV129" s="141" t="s">
        <v>329</v>
      </c>
      <c r="AW129" s="290">
        <f>IF(($R$41=AV129)*AND($R$42&lt;&gt;""),VLOOKUP($R$42,'Barèmes CALOG'!$BY$40:$BZ$70,2),0)</f>
        <v>0</v>
      </c>
    </row>
    <row r="130" spans="48:49" ht="12.75" customHeight="1" x14ac:dyDescent="0.2">
      <c r="AV130" s="141" t="s">
        <v>330</v>
      </c>
      <c r="AW130" s="290">
        <f>IF(($R$41=AV130)*AND($R$42&lt;&gt;""),VLOOKUP($R$42,'Barèmes CALOG'!$CB$40:$CC$70,2),0)</f>
        <v>0</v>
      </c>
    </row>
    <row r="131" spans="48:49" ht="12.75" customHeight="1" x14ac:dyDescent="0.2">
      <c r="AV131" s="141" t="s">
        <v>331</v>
      </c>
      <c r="AW131" s="290">
        <f>IF(($R$41=AV131)*AND($R$42&lt;&gt;""),VLOOKUP($R$42,'Barèmes CALOG'!$CE$40:$CF$70,2),0)</f>
        <v>0</v>
      </c>
    </row>
  </sheetData>
  <sheetProtection password="EC91" sheet="1" objects="1" scenarios="1" selectLockedCells="1"/>
  <mergeCells count="124">
    <mergeCell ref="AB58:AD58"/>
    <mergeCell ref="B53:E53"/>
    <mergeCell ref="F53:G53"/>
    <mergeCell ref="S53:U53"/>
    <mergeCell ref="AB53:AD53"/>
    <mergeCell ref="AB59:AD59"/>
    <mergeCell ref="AG54:AJ54"/>
    <mergeCell ref="S55:U55"/>
    <mergeCell ref="AB55:AD55"/>
    <mergeCell ref="AG55:AJ55"/>
    <mergeCell ref="S56:U56"/>
    <mergeCell ref="S57:U57"/>
    <mergeCell ref="S54:U54"/>
    <mergeCell ref="AB54:AD54"/>
    <mergeCell ref="S52:U52"/>
    <mergeCell ref="AB52:AD52"/>
    <mergeCell ref="AG52:AJ52"/>
    <mergeCell ref="B50:G50"/>
    <mergeCell ref="O50:Q50"/>
    <mergeCell ref="S50:U50"/>
    <mergeCell ref="B51:E51"/>
    <mergeCell ref="S51:U51"/>
    <mergeCell ref="AG51:AJ51"/>
    <mergeCell ref="O51:R51"/>
    <mergeCell ref="B52:E52"/>
    <mergeCell ref="F52:G52"/>
    <mergeCell ref="O52:R52"/>
    <mergeCell ref="O49:Q49"/>
    <mergeCell ref="S49:U49"/>
    <mergeCell ref="AB49:AD49"/>
    <mergeCell ref="AG49:AJ49"/>
    <mergeCell ref="O47:Q47"/>
    <mergeCell ref="S47:U47"/>
    <mergeCell ref="AB48:AD48"/>
    <mergeCell ref="Z48:AA48"/>
    <mergeCell ref="Z49:AA49"/>
    <mergeCell ref="B48:E48"/>
    <mergeCell ref="F48:G48"/>
    <mergeCell ref="O48:Q48"/>
    <mergeCell ref="S48:U48"/>
    <mergeCell ref="AM45:AP45"/>
    <mergeCell ref="AQ45:AR45"/>
    <mergeCell ref="B46:D46"/>
    <mergeCell ref="E46:F46"/>
    <mergeCell ref="G46:H46"/>
    <mergeCell ref="Z46:AA46"/>
    <mergeCell ref="AG48:AJ48"/>
    <mergeCell ref="AB46:AD46"/>
    <mergeCell ref="AG46:AJ46"/>
    <mergeCell ref="AM46:AP46"/>
    <mergeCell ref="AQ46:AR46"/>
    <mergeCell ref="B45:D45"/>
    <mergeCell ref="E45:F45"/>
    <mergeCell ref="G45:H45"/>
    <mergeCell ref="S45:U45"/>
    <mergeCell ref="AB45:AD45"/>
    <mergeCell ref="AG45:AJ45"/>
    <mergeCell ref="B44:D44"/>
    <mergeCell ref="E44:F44"/>
    <mergeCell ref="G44:H44"/>
    <mergeCell ref="S44:U44"/>
    <mergeCell ref="Z44:AA45"/>
    <mergeCell ref="AB44:AD44"/>
    <mergeCell ref="AG44:AJ44"/>
    <mergeCell ref="AM44:AP44"/>
    <mergeCell ref="AQ44:AR44"/>
    <mergeCell ref="B43:D43"/>
    <mergeCell ref="E43:F43"/>
    <mergeCell ref="G43:H43"/>
    <mergeCell ref="S43:U43"/>
    <mergeCell ref="J41:N41"/>
    <mergeCell ref="R41:S41"/>
    <mergeCell ref="AB43:AD43"/>
    <mergeCell ref="AG43:AJ43"/>
    <mergeCell ref="AM43:AQ43"/>
    <mergeCell ref="B42:D42"/>
    <mergeCell ref="E42:F42"/>
    <mergeCell ref="G42:H42"/>
    <mergeCell ref="R42:S42"/>
    <mergeCell ref="T42:V42"/>
    <mergeCell ref="Z42:AA42"/>
    <mergeCell ref="B41:D41"/>
    <mergeCell ref="E41:F41"/>
    <mergeCell ref="G41:H41"/>
    <mergeCell ref="T41:V41"/>
    <mergeCell ref="O7:P7"/>
    <mergeCell ref="AV4:AV7"/>
    <mergeCell ref="AW4:AW7"/>
    <mergeCell ref="AH5:AJ5"/>
    <mergeCell ref="AK5:AN5"/>
    <mergeCell ref="W40:X40"/>
    <mergeCell ref="AF4:AF7"/>
    <mergeCell ref="AS4:AS7"/>
    <mergeCell ref="AO4:AR4"/>
    <mergeCell ref="AT4:AT7"/>
    <mergeCell ref="AU4:AU7"/>
    <mergeCell ref="AG4:AG7"/>
    <mergeCell ref="AE4:AE7"/>
    <mergeCell ref="Z41:AA41"/>
    <mergeCell ref="Z6:Z7"/>
    <mergeCell ref="X6:X7"/>
    <mergeCell ref="AB4:AB7"/>
    <mergeCell ref="AC4:AC7"/>
    <mergeCell ref="AD4:AD7"/>
    <mergeCell ref="J6:K6"/>
    <mergeCell ref="L6:N6"/>
    <mergeCell ref="O6:P6"/>
    <mergeCell ref="Q6:T6"/>
    <mergeCell ref="B6:B7"/>
    <mergeCell ref="C6:C7"/>
    <mergeCell ref="D6:D7"/>
    <mergeCell ref="E6:E7"/>
    <mergeCell ref="F6:G6"/>
    <mergeCell ref="H6:I6"/>
    <mergeCell ref="D2:G2"/>
    <mergeCell ref="I2:L2"/>
    <mergeCell ref="N2:Q2"/>
    <mergeCell ref="R2:S2"/>
    <mergeCell ref="D3:G3"/>
    <mergeCell ref="J3:L3"/>
    <mergeCell ref="N3:Q3"/>
    <mergeCell ref="R3:S3"/>
    <mergeCell ref="D4:G4"/>
    <mergeCell ref="J4:L4"/>
  </mergeCells>
  <conditionalFormatting sqref="B8:AA38">
    <cfRule type="expression" dxfId="15" priority="3" stopIfTrue="1">
      <formula>OR($B8="Sa",$B8="Di",$D8="Jour férié semaine",$D8="Jour de pont")</formula>
    </cfRule>
  </conditionalFormatting>
  <conditionalFormatting sqref="Y8:AA38">
    <cfRule type="expression" dxfId="14" priority="1" stopIfTrue="1">
      <formula>OR($B8="Za",$B8="Zo",$D8="Feestdag week",$D8="Brugdag")</formula>
    </cfRule>
  </conditionalFormatting>
  <dataValidations count="3">
    <dataValidation type="list" allowBlank="1" showInputMessage="1" showErrorMessage="1" sqref="E8:E38" xr:uid="{00000000-0002-0000-0700-000000000000}">
      <formula1>"M,E,ME"</formula1>
    </dataValidation>
    <dataValidation type="list" allowBlank="1" showInputMessage="1" showErrorMessage="1" sqref="D8:D38" xr:uid="{00000000-0002-0000-0700-000001000000}">
      <formula1>$AX$8:$AX$29</formula1>
    </dataValidation>
    <dataValidation type="list" allowBlank="1" showInputMessage="1" showErrorMessage="1" sqref="R2:R3 F48" xr:uid="{00000000-0002-0000-0700-000002000000}">
      <formula1>"Oui,Non"</formula1>
    </dataValidation>
  </dataValidations>
  <pageMargins left="0.7" right="0.7" top="0.75" bottom="0.75" header="0.3" footer="0.3"/>
  <pageSetup paperSize="9" scale="68" fitToWidth="0" orientation="landscape"/>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BF131"/>
  <sheetViews>
    <sheetView workbookViewId="0">
      <selection activeCell="D8" sqref="D8"/>
    </sheetView>
  </sheetViews>
  <sheetFormatPr defaultRowHeight="12.75" customHeight="1" x14ac:dyDescent="0.2"/>
  <cols>
    <col min="1" max="1" width="1.42578125" style="17" customWidth="1"/>
    <col min="2" max="2" width="4" style="19" customWidth="1"/>
    <col min="3" max="3" width="6.85546875" style="17" customWidth="1"/>
    <col min="4" max="4" width="17.7109375" style="17" customWidth="1"/>
    <col min="5" max="5" width="4.42578125" style="17" customWidth="1"/>
    <col min="6" max="7" width="5.140625" style="37" customWidth="1"/>
    <col min="8" max="11" width="5.140625" style="17" customWidth="1"/>
    <col min="12" max="12" width="5.7109375" style="19" customWidth="1"/>
    <col min="13" max="13" width="6.28515625" style="19" customWidth="1"/>
    <col min="14" max="14" width="6.140625" style="18" customWidth="1"/>
    <col min="15" max="15" width="2.42578125" style="18" customWidth="1"/>
    <col min="16" max="16" width="6.42578125" style="17" customWidth="1"/>
    <col min="17" max="20" width="2.85546875" style="17" customWidth="1"/>
    <col min="21" max="21" width="5.7109375" style="17" customWidth="1"/>
    <col min="22" max="23" width="7.42578125" style="17" customWidth="1"/>
    <col min="24" max="24" width="7.7109375" style="17" customWidth="1"/>
    <col min="25" max="25" width="5.28515625" style="141" customWidth="1"/>
    <col min="26" max="26" width="6.42578125" style="141" customWidth="1"/>
    <col min="27" max="27" width="7.7109375" style="141" customWidth="1"/>
    <col min="28" max="28" width="7.85546875" style="141" hidden="1" customWidth="1"/>
    <col min="29" max="32" width="12.42578125" style="141" hidden="1" customWidth="1"/>
    <col min="33" max="33" width="8" style="141" hidden="1" customWidth="1"/>
    <col min="34" max="34" width="9.140625" style="141" hidden="1" customWidth="1"/>
    <col min="35" max="45" width="7.7109375" style="141" hidden="1" customWidth="1"/>
    <col min="46" max="48" width="12.140625" style="141" hidden="1" customWidth="1"/>
    <col min="49" max="51" width="9.85546875" style="141" hidden="1" customWidth="1"/>
    <col min="52" max="256" width="11.42578125" style="17" customWidth="1"/>
    <col min="257" max="16384" width="9.140625" style="17"/>
  </cols>
  <sheetData>
    <row r="1" spans="1:58" ht="5.25" customHeight="1" x14ac:dyDescent="0.2"/>
    <row r="2" spans="1:58" ht="12.75" customHeight="1" x14ac:dyDescent="0.2">
      <c r="D2" s="455" t="str">
        <f>CONCATENATE("Utilisateur: ",Configuration!H17)</f>
        <v xml:space="preserve">Utilisateur: </v>
      </c>
      <c r="E2" s="455"/>
      <c r="F2" s="455"/>
      <c r="G2" s="455"/>
      <c r="I2" s="456" t="s">
        <v>174</v>
      </c>
      <c r="J2" s="438"/>
      <c r="K2" s="438"/>
      <c r="L2" s="438"/>
      <c r="M2" s="18"/>
      <c r="N2" s="456" t="s">
        <v>177</v>
      </c>
      <c r="O2" s="438"/>
      <c r="P2" s="438"/>
      <c r="Q2" s="438"/>
      <c r="R2" s="439" t="s">
        <v>179</v>
      </c>
      <c r="S2" s="439"/>
      <c r="T2" s="20"/>
    </row>
    <row r="3" spans="1:58" ht="12.75" customHeight="1" x14ac:dyDescent="0.2">
      <c r="D3" s="440" t="str">
        <f>Configuration!G8</f>
        <v>OTT Tool 2024</v>
      </c>
      <c r="E3" s="440"/>
      <c r="F3" s="440"/>
      <c r="G3" s="440"/>
      <c r="I3" s="26"/>
      <c r="J3" s="438" t="s">
        <v>175</v>
      </c>
      <c r="K3" s="438"/>
      <c r="L3" s="438"/>
      <c r="M3" s="45">
        <f>IF(Mai!$F$48="Oui",Mai!F52,0)</f>
        <v>0</v>
      </c>
      <c r="N3" s="456" t="s">
        <v>178</v>
      </c>
      <c r="O3" s="438"/>
      <c r="P3" s="438"/>
      <c r="Q3" s="438"/>
      <c r="R3" s="439" t="s">
        <v>180</v>
      </c>
      <c r="S3" s="439"/>
      <c r="T3" s="20"/>
    </row>
    <row r="4" spans="1:58" ht="12.75" customHeight="1" x14ac:dyDescent="0.2">
      <c r="D4" s="440" t="s">
        <v>173</v>
      </c>
      <c r="E4" s="440"/>
      <c r="F4" s="440"/>
      <c r="G4" s="440"/>
      <c r="I4" s="20"/>
      <c r="J4" s="438" t="s">
        <v>176</v>
      </c>
      <c r="K4" s="438"/>
      <c r="L4" s="438"/>
      <c r="M4" s="45">
        <f>IF(Mai!$F$48="Oui",Mai!F53,Mai!M4)</f>
        <v>0</v>
      </c>
      <c r="N4" s="21"/>
      <c r="O4" s="19"/>
      <c r="Q4" s="18"/>
      <c r="T4" s="20"/>
      <c r="AB4" s="443" t="s">
        <v>259</v>
      </c>
      <c r="AC4" s="432" t="s">
        <v>160</v>
      </c>
      <c r="AD4" s="432" t="s">
        <v>255</v>
      </c>
      <c r="AE4" s="432" t="s">
        <v>166</v>
      </c>
      <c r="AF4" s="454" t="s">
        <v>168</v>
      </c>
      <c r="AG4" s="429" t="s">
        <v>45</v>
      </c>
      <c r="AJ4" s="121"/>
      <c r="AO4" s="426" t="s">
        <v>48</v>
      </c>
      <c r="AP4" s="427"/>
      <c r="AQ4" s="427"/>
      <c r="AR4" s="428"/>
      <c r="AS4" s="430" t="s">
        <v>52</v>
      </c>
      <c r="AT4" s="431" t="s">
        <v>53</v>
      </c>
      <c r="AU4" s="431" t="s">
        <v>60</v>
      </c>
      <c r="AV4" s="418" t="s">
        <v>62</v>
      </c>
      <c r="AW4" s="432" t="s">
        <v>63</v>
      </c>
    </row>
    <row r="5" spans="1:58" ht="12.75" customHeight="1" x14ac:dyDescent="0.2">
      <c r="B5" s="35"/>
      <c r="AB5" s="443"/>
      <c r="AC5" s="432"/>
      <c r="AD5" s="432"/>
      <c r="AE5" s="432"/>
      <c r="AF5" s="454"/>
      <c r="AG5" s="429"/>
      <c r="AH5" s="426" t="s">
        <v>47</v>
      </c>
      <c r="AI5" s="427"/>
      <c r="AJ5" s="428"/>
      <c r="AK5" s="426" t="s">
        <v>46</v>
      </c>
      <c r="AL5" s="427"/>
      <c r="AM5" s="427"/>
      <c r="AN5" s="428"/>
      <c r="AO5" s="105" t="s">
        <v>49</v>
      </c>
      <c r="AP5" s="94" t="s">
        <v>50</v>
      </c>
      <c r="AQ5" s="94" t="s">
        <v>51</v>
      </c>
      <c r="AR5" s="112" t="s">
        <v>46</v>
      </c>
      <c r="AS5" s="430"/>
      <c r="AT5" s="431"/>
      <c r="AU5" s="431"/>
      <c r="AV5" s="418"/>
      <c r="AW5" s="432"/>
    </row>
    <row r="6" spans="1:58" ht="12.75" customHeight="1" x14ac:dyDescent="0.2">
      <c r="A6" s="34"/>
      <c r="B6" s="419" t="s">
        <v>181</v>
      </c>
      <c r="C6" s="421" t="s">
        <v>182</v>
      </c>
      <c r="D6" s="421" t="s">
        <v>183</v>
      </c>
      <c r="E6" s="423" t="s">
        <v>184</v>
      </c>
      <c r="F6" s="446" t="s">
        <v>111</v>
      </c>
      <c r="G6" s="447"/>
      <c r="H6" s="433" t="s">
        <v>111</v>
      </c>
      <c r="I6" s="434"/>
      <c r="J6" s="433" t="s">
        <v>111</v>
      </c>
      <c r="K6" s="434"/>
      <c r="L6" s="433" t="s">
        <v>185</v>
      </c>
      <c r="M6" s="435"/>
      <c r="N6" s="434"/>
      <c r="O6" s="436" t="s">
        <v>41</v>
      </c>
      <c r="P6" s="437"/>
      <c r="Q6" s="433" t="s">
        <v>189</v>
      </c>
      <c r="R6" s="435"/>
      <c r="S6" s="435"/>
      <c r="T6" s="434"/>
      <c r="U6" s="27" t="s">
        <v>190</v>
      </c>
      <c r="V6" s="27" t="s">
        <v>191</v>
      </c>
      <c r="W6" s="27" t="s">
        <v>191</v>
      </c>
      <c r="X6" s="444" t="s">
        <v>192</v>
      </c>
      <c r="Y6" s="137" t="s">
        <v>195</v>
      </c>
      <c r="Z6" s="421" t="s">
        <v>245</v>
      </c>
      <c r="AA6" s="137" t="s">
        <v>246</v>
      </c>
      <c r="AB6" s="443"/>
      <c r="AC6" s="432"/>
      <c r="AD6" s="432"/>
      <c r="AE6" s="432"/>
      <c r="AF6" s="454"/>
      <c r="AG6" s="429"/>
      <c r="AH6" s="102">
        <v>0.79166666666666663</v>
      </c>
      <c r="AI6" s="100">
        <v>0</v>
      </c>
      <c r="AJ6" s="104">
        <v>0.79166666666666663</v>
      </c>
      <c r="AK6" s="120">
        <v>0.91666666666666663</v>
      </c>
      <c r="AL6" s="100">
        <v>0</v>
      </c>
      <c r="AM6" s="96">
        <v>0.79166666666666663</v>
      </c>
      <c r="AN6" s="104">
        <v>0.91666666666666663</v>
      </c>
      <c r="AO6" s="113">
        <v>0.25</v>
      </c>
      <c r="AP6" s="114">
        <v>0.5</v>
      </c>
      <c r="AQ6" s="114">
        <v>0.75</v>
      </c>
      <c r="AR6" s="115">
        <v>0</v>
      </c>
      <c r="AS6" s="430"/>
      <c r="AT6" s="431"/>
      <c r="AU6" s="431"/>
      <c r="AV6" s="418"/>
      <c r="AW6" s="432"/>
      <c r="AZ6" s="22"/>
      <c r="BA6" s="23"/>
    </row>
    <row r="7" spans="1:58" ht="12.75" customHeight="1" x14ac:dyDescent="0.2">
      <c r="A7" s="34"/>
      <c r="B7" s="420"/>
      <c r="C7" s="422"/>
      <c r="D7" s="422"/>
      <c r="E7" s="424"/>
      <c r="F7" s="38" t="s">
        <v>112</v>
      </c>
      <c r="G7" s="39" t="s">
        <v>113</v>
      </c>
      <c r="H7" s="28" t="s">
        <v>112</v>
      </c>
      <c r="I7" s="139" t="s">
        <v>113</v>
      </c>
      <c r="J7" s="28" t="s">
        <v>112</v>
      </c>
      <c r="K7" s="139" t="s">
        <v>113</v>
      </c>
      <c r="L7" s="28" t="s">
        <v>186</v>
      </c>
      <c r="M7" s="29" t="s">
        <v>187</v>
      </c>
      <c r="N7" s="139" t="s">
        <v>44</v>
      </c>
      <c r="O7" s="441" t="s">
        <v>188</v>
      </c>
      <c r="P7" s="442"/>
      <c r="Q7" s="31" t="s">
        <v>198</v>
      </c>
      <c r="R7" s="32" t="s">
        <v>42</v>
      </c>
      <c r="S7" s="32" t="s">
        <v>199</v>
      </c>
      <c r="T7" s="140" t="s">
        <v>200</v>
      </c>
      <c r="U7" s="30" t="s">
        <v>43</v>
      </c>
      <c r="V7" s="33" t="s">
        <v>193</v>
      </c>
      <c r="W7" s="33" t="s">
        <v>194</v>
      </c>
      <c r="X7" s="445"/>
      <c r="Y7" s="138" t="s">
        <v>196</v>
      </c>
      <c r="Z7" s="422"/>
      <c r="AA7" s="138" t="s">
        <v>247</v>
      </c>
      <c r="AB7" s="443"/>
      <c r="AC7" s="432"/>
      <c r="AD7" s="432"/>
      <c r="AE7" s="432"/>
      <c r="AF7" s="454"/>
      <c r="AG7" s="429"/>
      <c r="AH7" s="102">
        <v>1</v>
      </c>
      <c r="AI7" s="100">
        <v>0.29166666666666669</v>
      </c>
      <c r="AJ7" s="104">
        <v>0.29166666666666669</v>
      </c>
      <c r="AK7" s="102">
        <v>1</v>
      </c>
      <c r="AL7" s="99">
        <v>0.25</v>
      </c>
      <c r="AM7" s="95">
        <v>0.91666666666666663</v>
      </c>
      <c r="AN7" s="103">
        <v>0.25</v>
      </c>
      <c r="AO7" s="106">
        <v>0.33333333333333331</v>
      </c>
      <c r="AP7" s="96">
        <v>0.58333333333333337</v>
      </c>
      <c r="AQ7" s="96">
        <v>0.83333333333333337</v>
      </c>
      <c r="AR7" s="104">
        <v>8.3333333333333329E-2</v>
      </c>
      <c r="AS7" s="430"/>
      <c r="AT7" s="431"/>
      <c r="AU7" s="431"/>
      <c r="AV7" s="418"/>
      <c r="AW7" s="432"/>
      <c r="AZ7" s="22" t="s">
        <v>197</v>
      </c>
      <c r="BA7" s="23"/>
    </row>
    <row r="8" spans="1:58" ht="12.75" customHeight="1" x14ac:dyDescent="0.2">
      <c r="A8" s="34"/>
      <c r="B8" s="59" t="str">
        <f t="shared" ref="B8:B37" si="0">CHOOSE(WEEKDAY(C8),"Di","Lu","Ma","Me","Je","Ve","Sa")</f>
        <v>Sa</v>
      </c>
      <c r="C8" s="60">
        <f>DATE(RIGHT(Configuration!$G$8,4),6,1)</f>
        <v>45444</v>
      </c>
      <c r="D8" s="61"/>
      <c r="E8" s="62"/>
      <c r="F8" s="63"/>
      <c r="G8" s="64"/>
      <c r="H8" s="63"/>
      <c r="I8" s="64"/>
      <c r="J8" s="63"/>
      <c r="K8" s="64"/>
      <c r="L8" s="40">
        <f t="shared" ref="L8:L37" si="1">(G8-F8)+(I8-H8)+(K8-J8)+SUM(AB8,AC8,AD8,AE8,AF8,AG8)</f>
        <v>0</v>
      </c>
      <c r="M8" s="65">
        <f>L8+M3+IF(Mai!$F$48="Non",Mai!M38,0)</f>
        <v>1.2666666666666666</v>
      </c>
      <c r="N8" s="66">
        <f>IF(AND(D8&lt;&gt;"Jour libre 4/5",B8&lt;&gt;"Sa",B8&lt;&gt;"Di"),SUM(N7,Configuration!$H$41),SUM(N7))+IF(Mai!F48="Non",Mai!N38,0)</f>
        <v>7.2833333333333297</v>
      </c>
      <c r="O8" s="48" t="str">
        <f>IF(M8-N8-$M$4&gt;=0,"+","-")</f>
        <v>-</v>
      </c>
      <c r="P8" s="67">
        <f>ABS(M8-N8-$M$4)</f>
        <v>6.0166666666666631</v>
      </c>
      <c r="Q8" s="164">
        <f>AO8</f>
        <v>0</v>
      </c>
      <c r="R8" s="165">
        <f>AP8</f>
        <v>0</v>
      </c>
      <c r="S8" s="165">
        <f>AQ8</f>
        <v>0</v>
      </c>
      <c r="T8" s="166">
        <f>AR8</f>
        <v>0</v>
      </c>
      <c r="U8" s="93">
        <f t="shared" ref="U8:U37" si="2">IF(OR(AND(D8="Jour férié semaine",((G8-F8)+(I8-H8)+(K8-J8&gt;0))),B8="Sa",B8="Di"),L8,0)</f>
        <v>0</v>
      </c>
      <c r="V8" s="93">
        <f t="shared" ref="V8:V37" si="3">IF($R$2="Oui",AM8,0)</f>
        <v>0</v>
      </c>
      <c r="W8" s="93">
        <f t="shared" ref="W8:W37" si="4">IF($R$2="Oui",AN8,0)</f>
        <v>0</v>
      </c>
      <c r="X8" s="93">
        <f t="shared" ref="X8:X37" si="5">IF($R$3="Oui",AJ8,0)</f>
        <v>0</v>
      </c>
      <c r="Y8" s="209"/>
      <c r="Z8" s="210"/>
      <c r="AA8" s="210"/>
      <c r="AB8" s="128">
        <f>IF(AND(D8="Jour férié semaine",((G8-F8)+(I8-H8)+(K8-J8)=0)),VLOOKUP(D8,Systeemgegevens!$J:$K,2,FALSE),0)</f>
        <v>0</v>
      </c>
      <c r="AC8" s="43">
        <f>IF(AND(NOT(ISERROR(FIND("Congé",D8))),ISERROR(FIND("1/2",D8)),ISERROR(FIND("Synd",D8)),ISERROR(FIND("synd",D8)),(G8-F8+I8-H8+K8-J8)=0),VLOOKUP(D8,Systeemgegevens!$J:$K,2,FALSE),IF(AND(NOT(ISERROR(FIND("1/2 Congé + ",D8))),(G8-F8+I8-H8+K8-J8)=0),VLOOKUP(D8,Systeemgegevens!$J:$K,2,FALSE)/2,IF(AND(NOT(ISERROR(FIND("1/2 Congé",D8))),ISERROR(FIND(" + ",D8)),ISERROR(FIND("1/2 Congé Synd.",D8))),VLOOKUP(D8,Systeemgegevens!$J:$K,2,FALSE),0)))</f>
        <v>0</v>
      </c>
      <c r="AD8" s="43">
        <f>IF(AND(OR(D8="1/2 Congé Synd.",D8="Congé Synd."),((G8-F8)+(I8-H8)+(K8-J8)=0)),VLOOKUP(D8,Systeemgegevens!$J:$K,2,FALSE),IF(AND(D8="1/2 Congé + 1/2 synd.",((G8-F8)+(I8-H8)+(K8-J8)=0)),AC8,0))</f>
        <v>0</v>
      </c>
      <c r="AE8" s="43">
        <f>IF(AND(D8="Jour de pont",((G8-F8)+(I8-H8)+(K8-J8)=0)),VLOOKUP(D8,Systeemgegevens!$J:$K,2,FALSE),0)</f>
        <v>0</v>
      </c>
      <c r="AF8" s="43">
        <f>IF(AND(D8="Jour libre 4/5",AND((G8-F8)+(I8-H8)+(K8-J8)=0)),VLOOKUP(D8,Systeemgegevens!$J:$K,2,FALSE),0)</f>
        <v>0</v>
      </c>
      <c r="AG8" s="118">
        <f>IF(AND(D8&lt;&gt;"",SUM(AB8:AF8)=0,D8&lt;&gt;$AB$4,D8&lt;&gt;$AC$4,D8&lt;&gt;$AD$4,D8&lt;&gt;$AE$4,D8&lt;&gt;$AF$4),VLOOKUP(D8,Systeemgegevens!$J:$K,2,FALSE),0)</f>
        <v>0</v>
      </c>
      <c r="AH8" s="119">
        <f t="shared" ref="AH8:AH37" si="6">SUM(IF(AND(G8&gt;$AH$6,F8&lt;=$AH$6),G8-$AH$6,0),IF(F8&gt;$AH$6,G8-F8,0),IF(AND(I8&gt;$AH$6,H8&lt;=$AH$6),I8-$AH$6,0),IF(H8&gt;$AH$6,I8-H8,0),IF(AND(K8&gt;$AH$6,J8&lt;=$AH$6),K8-$AH$6,0),IF(J8&gt;$AH$6,K8-J8,0))</f>
        <v>0</v>
      </c>
      <c r="AI8" s="101">
        <f t="shared" ref="AI8:AI37" si="7">SUM(IF(AND(G8&gt;=$AI$7,F8&lt;$AI$7),$AI$7-F8,0),IF(G8&lt;$AI$7,G8-F8,0),IF(AND(I8&gt;=$AI$7,H8&lt;$AI$7),$AI$7-H8,0),IF(I8&lt;$AI$7,I8-H8,0),IF(AND(K8&gt;=$AI$7,J8&lt;$AI$7),$AI$7-J8,0),IF(K8&lt;$AI$7,K8-J8,0))</f>
        <v>0</v>
      </c>
      <c r="AJ8" s="118">
        <f>SUM(AH8:AI8)</f>
        <v>0</v>
      </c>
      <c r="AK8" s="119">
        <f t="shared" ref="AK8:AK37" si="8">SUM(IF(AND(G8&gt;$AK$6,F8&lt;=$AK$6),G8-$AK$6,0),IF(F8&gt;$AK$6,G8-F8,0),IF(AND(I8&gt;$AK$6,H8&lt;=$AK$6),I8-$AK$6,0),IF(H8&gt;$AK$6,I8-H8,0),IF(AND(K8&gt;$AK$6,J8&lt;=$AK$6),K8-$AK$6,0),IF(J8&gt;$AK$6,K8-J8,0))</f>
        <v>0</v>
      </c>
      <c r="AL8" s="101">
        <f t="shared" ref="AL8:AL37" si="9">SUM(IF(AND(G8&gt;=$AL$7,F8&lt;$AL$7),$AL$7-F8,0),IF(G8&lt;$AL$7,G8-F8,0),IF(AND(I8&gt;=$AL$7,H8&lt;$AL$7),$AL$7-H8,0),IF(I8&lt;$AL$7,I8-H8,0),IF(AND(K8&gt;=$AL$7,J8&lt;$AL$7),$AL$7-J8,0),IF(K8&lt;$AL$7,K8-J8,0))</f>
        <v>0</v>
      </c>
      <c r="AM8" s="43">
        <f>AH8-AK8</f>
        <v>0</v>
      </c>
      <c r="AN8" s="118">
        <f>AK8+AL8</f>
        <v>0</v>
      </c>
      <c r="AO8" s="122">
        <f t="shared" ref="AO8:AO37" si="10">SUM(IF(AND(F8&lt;=$AO$6,G8&gt;=$AO$7),1,0),IF(AND(H8&lt;=$AO$6,I8&gt;=$AO$7),1,0),IF(AND(J8&lt;=$AO$6,K8&gt;=$AO$7),1,0))</f>
        <v>0</v>
      </c>
      <c r="AP8" s="107">
        <f t="shared" ref="AP8:AP37" si="11">SUM(IF(AND(F8&lt;=$AP$6,G8&gt;=$AP$7),1,0),IF(AND(H8&lt;=$AP$6,I8&gt;=$AP$7),1,0),IF(AND(J8&lt;=$AP$6,K8&gt;=$AP$7),1,0))</f>
        <v>0</v>
      </c>
      <c r="AQ8" s="107">
        <f t="shared" ref="AQ8:AQ37" si="12">SUM(IF(AND(F8&lt;=$AQ$6,G8&gt;=$AQ$7),1,0),IF(AND(H8&lt;=$AQ$6,I8&gt;=$AQ$7),1,0),IF(AND(J8&lt;=$AQ$6,K8&gt;=$AQ$7),1,0))</f>
        <v>0</v>
      </c>
      <c r="AR8" s="123">
        <f t="shared" ref="AR8:AR37" si="13">SUM(IF(AND(F8&lt;=$AR$6,G8&gt;=$AR$7),1,0),IF(AND(H8&lt;=$AR$6,I8&gt;=$AR$7),1,0),IF(AND(J8&lt;=$AR$6,K8&gt;=$AR$7),1,0))</f>
        <v>0</v>
      </c>
      <c r="AS8" s="124">
        <f t="shared" ref="AS8:AS37" si="14">IF(OR(E8="M",E8="ME"),1,0)</f>
        <v>0</v>
      </c>
      <c r="AT8" s="124">
        <f t="shared" ref="AT8:AT37" si="15">IF(OR(E8="E",E8="ME"),1,0)</f>
        <v>0</v>
      </c>
      <c r="AU8" s="124">
        <f t="shared" ref="AU8:AU37" si="16">IF(AND(OR(D8="Jour férié semaine",D8="Jour de pont"),((G8-F8)+(I8-H8)+(K8-J8)&gt;0)),1,0)</f>
        <v>0</v>
      </c>
      <c r="AV8" s="117" t="s">
        <v>36</v>
      </c>
      <c r="AW8" s="129">
        <f>IF(($R$40=AV8)*AND($R$41&lt;&gt;""),VLOOKUP($R$41,'Barèmes police'!$B$4:$C$30,2),0)</f>
        <v>14703.88</v>
      </c>
      <c r="AX8" s="15"/>
      <c r="AY8" s="14"/>
      <c r="AZ8" s="269"/>
      <c r="BA8" s="154"/>
      <c r="BB8" s="154"/>
      <c r="BC8" s="154"/>
      <c r="BD8" s="154"/>
      <c r="BE8" s="154"/>
      <c r="BF8" s="154"/>
    </row>
    <row r="9" spans="1:58" ht="12.75" customHeight="1" x14ac:dyDescent="0.2">
      <c r="A9" s="34"/>
      <c r="B9" s="24" t="str">
        <f t="shared" si="0"/>
        <v>Di</v>
      </c>
      <c r="C9" s="25">
        <f>C8+1</f>
        <v>45445</v>
      </c>
      <c r="D9" s="51"/>
      <c r="E9" s="116"/>
      <c r="F9" s="52"/>
      <c r="G9" s="53"/>
      <c r="H9" s="52"/>
      <c r="I9" s="53"/>
      <c r="J9" s="54"/>
      <c r="K9" s="55"/>
      <c r="L9" s="40">
        <f t="shared" si="1"/>
        <v>0</v>
      </c>
      <c r="M9" s="41">
        <f>M8+L9</f>
        <v>1.2666666666666666</v>
      </c>
      <c r="N9" s="42">
        <f>IF(AND(D9&lt;&gt;"Jour libre 4/5",B9&lt;&gt;"Sa",B9&lt;&gt;"Di"),SUM(N8,Configuration!$H$41),SUM(N8))</f>
        <v>7.2833333333333297</v>
      </c>
      <c r="O9" s="49" t="str">
        <f>IF(M9-N9-$M$4&gt;=0,"+","-")</f>
        <v>-</v>
      </c>
      <c r="P9" s="143">
        <f t="shared" ref="P9:P37" si="17">ABS(M9-N9-$M$4)</f>
        <v>6.0166666666666631</v>
      </c>
      <c r="Q9" s="167">
        <f t="shared" ref="Q9:T37" si="18">AO9</f>
        <v>0</v>
      </c>
      <c r="R9" s="168">
        <f t="shared" si="18"/>
        <v>0</v>
      </c>
      <c r="S9" s="168">
        <f t="shared" si="18"/>
        <v>0</v>
      </c>
      <c r="T9" s="169">
        <f t="shared" si="18"/>
        <v>0</v>
      </c>
      <c r="U9" s="97">
        <f t="shared" si="2"/>
        <v>0</v>
      </c>
      <c r="V9" s="97">
        <f t="shared" si="3"/>
        <v>0</v>
      </c>
      <c r="W9" s="97">
        <f t="shared" si="4"/>
        <v>0</v>
      </c>
      <c r="X9" s="97">
        <f t="shared" si="5"/>
        <v>0</v>
      </c>
      <c r="Y9" s="209"/>
      <c r="Z9" s="210"/>
      <c r="AA9" s="210"/>
      <c r="AB9" s="128">
        <f>IF(AND(D9="Jour férié semaine",((G9-F9)+(I9-H9)+(K9-J9)=0)),VLOOKUP(D9,Systeemgegevens!$J:$K,2,FALSE),0)</f>
        <v>0</v>
      </c>
      <c r="AC9" s="43">
        <f>IF(AND(NOT(ISERROR(FIND("Congé",D9))),ISERROR(FIND("1/2",D9)),ISERROR(FIND("Synd",D9)),ISERROR(FIND("synd",D9)),(G9-F9+I9-H9+K9-J9)=0),VLOOKUP(D9,Systeemgegevens!$J:$K,2,FALSE),IF(AND(NOT(ISERROR(FIND("1/2 Congé + ",D9))),(G9-F9+I9-H9+K9-J9)=0),VLOOKUP(D9,Systeemgegevens!$J:$K,2,FALSE)/2,IF(AND(NOT(ISERROR(FIND("1/2 Congé",D9))),ISERROR(FIND(" + ",D9)),ISERROR(FIND("1/2 Congé Synd.",D9))),VLOOKUP(D9,Systeemgegevens!$J:$K,2,FALSE),0)))</f>
        <v>0</v>
      </c>
      <c r="AD9" s="43">
        <f>IF(AND(OR(D9="1/2 Congé Synd.",D9="Congé Synd."),((G9-F9)+(I9-H9)+(K9-J9)=0)),VLOOKUP(D9,Systeemgegevens!$J:$K,2,FALSE),IF(AND(D9="1/2 Congé + 1/2 synd.",((G9-F9)+(I9-H9)+(K9-J9)=0)),AC9,0))</f>
        <v>0</v>
      </c>
      <c r="AE9" s="43">
        <f>IF(AND(D9="Jour de pont",((G9-F9)+(I9-H9)+(K9-J9)=0)),VLOOKUP(D9,Systeemgegevens!$J:$K,2,FALSE),0)</f>
        <v>0</v>
      </c>
      <c r="AF9" s="43">
        <f>IF(AND(D9="Jour libre 4/5",AND((G9-F9)+(I9-H9)+(K9-J9)=0)),VLOOKUP(D9,Systeemgegevens!$J:$K,2,FALSE),0)</f>
        <v>0</v>
      </c>
      <c r="AG9" s="118">
        <f>IF(AND(D9&lt;&gt;"",SUM(AB9:AF9)=0,D9&lt;&gt;$AB$4,D9&lt;&gt;$AC$4,D9&lt;&gt;$AE$4,D9&lt;&gt;$AF$4),VLOOKUP(D9,Systeemgegevens!$J:$K,2,FALSE),0)</f>
        <v>0</v>
      </c>
      <c r="AH9" s="119">
        <f t="shared" si="6"/>
        <v>0</v>
      </c>
      <c r="AI9" s="101">
        <f t="shared" si="7"/>
        <v>0</v>
      </c>
      <c r="AJ9" s="118">
        <f t="shared" ref="AJ9:AJ37" si="19">SUM(AH9:AI9)</f>
        <v>0</v>
      </c>
      <c r="AK9" s="119">
        <f t="shared" si="8"/>
        <v>0</v>
      </c>
      <c r="AL9" s="101">
        <f t="shared" si="9"/>
        <v>0</v>
      </c>
      <c r="AM9" s="43">
        <f t="shared" ref="AM9:AM37" si="20">AH9-AK9</f>
        <v>0</v>
      </c>
      <c r="AN9" s="118">
        <f t="shared" ref="AN9:AN37" si="21">AK9+AL9</f>
        <v>0</v>
      </c>
      <c r="AO9" s="122">
        <f t="shared" si="10"/>
        <v>0</v>
      </c>
      <c r="AP9" s="107">
        <f t="shared" si="11"/>
        <v>0</v>
      </c>
      <c r="AQ9" s="107">
        <f t="shared" si="12"/>
        <v>0</v>
      </c>
      <c r="AR9" s="123">
        <f t="shared" si="13"/>
        <v>0</v>
      </c>
      <c r="AS9" s="124">
        <f t="shared" si="14"/>
        <v>0</v>
      </c>
      <c r="AT9" s="124">
        <f t="shared" si="15"/>
        <v>0</v>
      </c>
      <c r="AU9" s="124">
        <f t="shared" si="16"/>
        <v>0</v>
      </c>
      <c r="AV9" s="117" t="s">
        <v>35</v>
      </c>
      <c r="AW9" s="129">
        <f>IF(($R$40=AV9)*AND($R$41&lt;&gt;""),VLOOKUP($R$41,'Barèmes police'!$E$4:$F$30,2),0)</f>
        <v>0</v>
      </c>
      <c r="AX9" s="16" t="str">
        <f>IF('Types de jours'!F15&lt;&gt;"",'Types de jours'!F15,"")</f>
        <v>Congé</v>
      </c>
      <c r="AY9" s="144">
        <f>IF(AX9&lt;&gt;"",'Types de jours'!I15,"")</f>
        <v>0.31666666666666665</v>
      </c>
      <c r="AZ9" s="269"/>
      <c r="BA9" s="154"/>
      <c r="BB9" s="154"/>
      <c r="BC9" s="154"/>
      <c r="BD9" s="154"/>
      <c r="BE9" s="154"/>
      <c r="BF9" s="154"/>
    </row>
    <row r="10" spans="1:58" ht="12.75" customHeight="1" x14ac:dyDescent="0.2">
      <c r="A10" s="34"/>
      <c r="B10" s="24" t="str">
        <f t="shared" si="0"/>
        <v>Lu</v>
      </c>
      <c r="C10" s="25">
        <f t="shared" ref="C10:C37" si="22">C9+1</f>
        <v>45446</v>
      </c>
      <c r="D10" s="51"/>
      <c r="E10" s="116"/>
      <c r="F10" s="52"/>
      <c r="G10" s="53"/>
      <c r="H10" s="52"/>
      <c r="I10" s="53"/>
      <c r="J10" s="54"/>
      <c r="K10" s="55"/>
      <c r="L10" s="40">
        <f t="shared" si="1"/>
        <v>0</v>
      </c>
      <c r="M10" s="41">
        <f t="shared" ref="M10:M37" si="23">M9+L10</f>
        <v>1.2666666666666666</v>
      </c>
      <c r="N10" s="42">
        <f>IF(AND(D10&lt;&gt;"Jour libre 4/5",B10&lt;&gt;"Sa",B10&lt;&gt;"Di"),SUM(N9,Configuration!$H$41),SUM(N9))</f>
        <v>7.5999999999999961</v>
      </c>
      <c r="O10" s="49" t="str">
        <f t="shared" ref="O10:O37" si="24">IF(M10-N10-$M$4&gt;=0,"+","-")</f>
        <v>-</v>
      </c>
      <c r="P10" s="143">
        <f t="shared" si="17"/>
        <v>6.3333333333333295</v>
      </c>
      <c r="Q10" s="167">
        <f t="shared" si="18"/>
        <v>0</v>
      </c>
      <c r="R10" s="168">
        <f t="shared" si="18"/>
        <v>0</v>
      </c>
      <c r="S10" s="168">
        <f t="shared" si="18"/>
        <v>0</v>
      </c>
      <c r="T10" s="169">
        <f t="shared" si="18"/>
        <v>0</v>
      </c>
      <c r="U10" s="97">
        <f t="shared" si="2"/>
        <v>0</v>
      </c>
      <c r="V10" s="97">
        <f t="shared" si="3"/>
        <v>0</v>
      </c>
      <c r="W10" s="97">
        <f t="shared" si="4"/>
        <v>0</v>
      </c>
      <c r="X10" s="97">
        <f t="shared" si="5"/>
        <v>0</v>
      </c>
      <c r="Y10" s="209"/>
      <c r="Z10" s="210"/>
      <c r="AA10" s="210"/>
      <c r="AB10" s="128">
        <f>IF(AND(D10="Jour férié semaine",((G10-F10)+(I10-H10)+(K10-J10)=0)),VLOOKUP(D10,Systeemgegevens!$J:$K,2,FALSE),0)</f>
        <v>0</v>
      </c>
      <c r="AC10" s="43">
        <f>IF(AND(NOT(ISERROR(FIND("Congé",D10))),ISERROR(FIND("1/2",D10)),ISERROR(FIND("Synd",D10)),ISERROR(FIND("synd",D10)),(G10-F10+I10-H10+K10-J10)=0),VLOOKUP(D10,Systeemgegevens!$J:$K,2,FALSE),IF(AND(NOT(ISERROR(FIND("1/2 Congé + ",D10))),(G10-F10+I10-H10+K10-J10)=0),VLOOKUP(D10,Systeemgegevens!$J:$K,2,FALSE)/2,IF(AND(NOT(ISERROR(FIND("1/2 Congé",D10))),ISERROR(FIND(" + ",D10)),ISERROR(FIND("1/2 Congé Synd.",D10))),VLOOKUP(D10,Systeemgegevens!$J:$K,2,FALSE),0)))</f>
        <v>0</v>
      </c>
      <c r="AD10" s="43">
        <f>IF(AND(OR(D10="1/2 Congé Synd.",D10="Congé Synd."),((G10-F10)+(I10-H10)+(K10-J10)=0)),VLOOKUP(D10,Systeemgegevens!$J:$K,2,FALSE),IF(AND(D10="1/2 Congé + 1/2 synd.",((G10-F10)+(I10-H10)+(K10-J10)=0)),AC10,0))</f>
        <v>0</v>
      </c>
      <c r="AE10" s="43">
        <f>IF(AND(D10="Jour de pont",((G10-F10)+(I10-H10)+(K10-J10)=0)),VLOOKUP(D10,Systeemgegevens!$J:$K,2,FALSE),0)</f>
        <v>0</v>
      </c>
      <c r="AF10" s="43">
        <f>IF(AND(D10="Jour libre 4/5",AND((G10-F10)+(I10-H10)+(K10-J10)=0)),VLOOKUP(D10,Systeemgegevens!$J:$K,2,FALSE),0)</f>
        <v>0</v>
      </c>
      <c r="AG10" s="118">
        <f>IF(AND(D10&lt;&gt;"",SUM(AB10:AF10)=0,D10&lt;&gt;$AB$4,D10&lt;&gt;$AC$4,D10&lt;&gt;$AE$4,D10&lt;&gt;$AF$4),VLOOKUP(D10,Systeemgegevens!$J:$K,2,FALSE),0)</f>
        <v>0</v>
      </c>
      <c r="AH10" s="119">
        <f t="shared" si="6"/>
        <v>0</v>
      </c>
      <c r="AI10" s="101">
        <f t="shared" si="7"/>
        <v>0</v>
      </c>
      <c r="AJ10" s="118">
        <f t="shared" si="19"/>
        <v>0</v>
      </c>
      <c r="AK10" s="119">
        <f t="shared" si="8"/>
        <v>0</v>
      </c>
      <c r="AL10" s="101">
        <f t="shared" si="9"/>
        <v>0</v>
      </c>
      <c r="AM10" s="43">
        <f t="shared" si="20"/>
        <v>0</v>
      </c>
      <c r="AN10" s="118">
        <f t="shared" si="21"/>
        <v>0</v>
      </c>
      <c r="AO10" s="122">
        <f t="shared" si="10"/>
        <v>0</v>
      </c>
      <c r="AP10" s="107">
        <f t="shared" si="11"/>
        <v>0</v>
      </c>
      <c r="AQ10" s="107">
        <f t="shared" si="12"/>
        <v>0</v>
      </c>
      <c r="AR10" s="123">
        <f t="shared" si="13"/>
        <v>0</v>
      </c>
      <c r="AS10" s="124">
        <f t="shared" si="14"/>
        <v>0</v>
      </c>
      <c r="AT10" s="124">
        <f t="shared" si="15"/>
        <v>0</v>
      </c>
      <c r="AU10" s="124">
        <f t="shared" si="16"/>
        <v>0</v>
      </c>
      <c r="AV10" s="117" t="s">
        <v>34</v>
      </c>
      <c r="AW10" s="129">
        <f>IF(($R$40=AV10)*AND($R$41&lt;&gt;""),VLOOKUP($R$41,'Barèmes police'!$H$4:$I$30,2),0)</f>
        <v>0</v>
      </c>
      <c r="AX10" s="16" t="str">
        <f>IF('Types de jours'!F16&lt;&gt;"",'Types de jours'!F16,"")</f>
        <v>1/2 Congé</v>
      </c>
      <c r="AY10" s="144">
        <f>IF(AX10&lt;&gt;"",'Types de jours'!I16,"")</f>
        <v>0.15833333333333333</v>
      </c>
      <c r="AZ10" s="269"/>
      <c r="BA10" s="154"/>
      <c r="BB10" s="154"/>
      <c r="BC10" s="154"/>
      <c r="BD10" s="154"/>
      <c r="BE10" s="154"/>
      <c r="BF10" s="154"/>
    </row>
    <row r="11" spans="1:58" ht="12.75" customHeight="1" x14ac:dyDescent="0.2">
      <c r="A11" s="34"/>
      <c r="B11" s="24" t="str">
        <f t="shared" si="0"/>
        <v>Ma</v>
      </c>
      <c r="C11" s="25">
        <f t="shared" si="22"/>
        <v>45447</v>
      </c>
      <c r="D11" s="51"/>
      <c r="E11" s="116"/>
      <c r="F11" s="52"/>
      <c r="G11" s="53"/>
      <c r="H11" s="52"/>
      <c r="I11" s="53"/>
      <c r="J11" s="54"/>
      <c r="K11" s="55"/>
      <c r="L11" s="40">
        <f t="shared" si="1"/>
        <v>0</v>
      </c>
      <c r="M11" s="41">
        <f t="shared" si="23"/>
        <v>1.2666666666666666</v>
      </c>
      <c r="N11" s="42">
        <f>IF(AND(D11&lt;&gt;"Jour libre 4/5",B11&lt;&gt;"Sa",B11&lt;&gt;"Di"),SUM(N10,Configuration!$H$41),SUM(N10))</f>
        <v>7.9166666666666625</v>
      </c>
      <c r="O11" s="49" t="str">
        <f t="shared" si="24"/>
        <v>-</v>
      </c>
      <c r="P11" s="143">
        <f t="shared" si="17"/>
        <v>6.6499999999999959</v>
      </c>
      <c r="Q11" s="167">
        <f t="shared" si="18"/>
        <v>0</v>
      </c>
      <c r="R11" s="168">
        <f t="shared" si="18"/>
        <v>0</v>
      </c>
      <c r="S11" s="168">
        <f t="shared" si="18"/>
        <v>0</v>
      </c>
      <c r="T11" s="169">
        <f t="shared" si="18"/>
        <v>0</v>
      </c>
      <c r="U11" s="97">
        <f t="shared" si="2"/>
        <v>0</v>
      </c>
      <c r="V11" s="97">
        <f t="shared" si="3"/>
        <v>0</v>
      </c>
      <c r="W11" s="97">
        <f t="shared" si="4"/>
        <v>0</v>
      </c>
      <c r="X11" s="97">
        <f t="shared" si="5"/>
        <v>0</v>
      </c>
      <c r="Y11" s="209"/>
      <c r="Z11" s="210"/>
      <c r="AA11" s="210"/>
      <c r="AB11" s="128">
        <f>IF(AND(D11="Jour férié semaine",((G11-F11)+(I11-H11)+(K11-J11)=0)),VLOOKUP(D11,Systeemgegevens!$J:$K,2,FALSE),0)</f>
        <v>0</v>
      </c>
      <c r="AC11" s="43">
        <f>IF(AND(NOT(ISERROR(FIND("Congé",D11))),ISERROR(FIND("1/2",D11)),ISERROR(FIND("Synd",D11)),ISERROR(FIND("synd",D11)),(G11-F11+I11-H11+K11-J11)=0),VLOOKUP(D11,Systeemgegevens!$J:$K,2,FALSE),IF(AND(NOT(ISERROR(FIND("1/2 Congé + ",D11))),(G11-F11+I11-H11+K11-J11)=0),VLOOKUP(D11,Systeemgegevens!$J:$K,2,FALSE)/2,IF(AND(NOT(ISERROR(FIND("1/2 Congé",D11))),ISERROR(FIND(" + ",D11)),ISERROR(FIND("1/2 Congé Synd.",D11))),VLOOKUP(D11,Systeemgegevens!$J:$K,2,FALSE),0)))</f>
        <v>0</v>
      </c>
      <c r="AD11" s="43">
        <f>IF(AND(OR(D11="1/2 Congé Synd.",D11="Congé Synd."),((G11-F11)+(I11-H11)+(K11-J11)=0)),VLOOKUP(D11,Systeemgegevens!$J:$K,2,FALSE),IF(AND(D11="1/2 Congé + 1/2 synd.",((G11-F11)+(I11-H11)+(K11-J11)=0)),AC11,0))</f>
        <v>0</v>
      </c>
      <c r="AE11" s="43">
        <f>IF(AND(D11="Jour de pont",((G11-F11)+(I11-H11)+(K11-J11)=0)),VLOOKUP(D11,Systeemgegevens!$J:$K,2,FALSE),0)</f>
        <v>0</v>
      </c>
      <c r="AF11" s="43">
        <f>IF(AND(D11="Jour libre 4/5",AND((G11-F11)+(I11-H11)+(K11-J11)=0)),VLOOKUP(D11,Systeemgegevens!$J:$K,2,FALSE),0)</f>
        <v>0</v>
      </c>
      <c r="AG11" s="118">
        <f>IF(AND(D11&lt;&gt;"",SUM(AB11:AF11)=0,D11&lt;&gt;$AB$4,D11&lt;&gt;$AC$4,D11&lt;&gt;$AE$4,D11&lt;&gt;$AF$4),VLOOKUP(D11,Systeemgegevens!$J:$K,2,FALSE),0)</f>
        <v>0</v>
      </c>
      <c r="AH11" s="119">
        <f t="shared" si="6"/>
        <v>0</v>
      </c>
      <c r="AI11" s="101">
        <f t="shared" si="7"/>
        <v>0</v>
      </c>
      <c r="AJ11" s="118">
        <f t="shared" si="19"/>
        <v>0</v>
      </c>
      <c r="AK11" s="119">
        <f t="shared" si="8"/>
        <v>0</v>
      </c>
      <c r="AL11" s="101">
        <f t="shared" si="9"/>
        <v>0</v>
      </c>
      <c r="AM11" s="43">
        <f t="shared" si="20"/>
        <v>0</v>
      </c>
      <c r="AN11" s="118">
        <f t="shared" si="21"/>
        <v>0</v>
      </c>
      <c r="AO11" s="122">
        <f t="shared" si="10"/>
        <v>0</v>
      </c>
      <c r="AP11" s="107">
        <f t="shared" si="11"/>
        <v>0</v>
      </c>
      <c r="AQ11" s="107">
        <f t="shared" si="12"/>
        <v>0</v>
      </c>
      <c r="AR11" s="123">
        <f t="shared" si="13"/>
        <v>0</v>
      </c>
      <c r="AS11" s="124">
        <f t="shared" si="14"/>
        <v>0</v>
      </c>
      <c r="AT11" s="124">
        <f t="shared" si="15"/>
        <v>0</v>
      </c>
      <c r="AU11" s="124">
        <f t="shared" si="16"/>
        <v>0</v>
      </c>
      <c r="AV11" s="117" t="s">
        <v>268</v>
      </c>
      <c r="AW11" s="129">
        <f>IF(($R$40=AV11)*AND($R$41&lt;&gt;""),VLOOKUP($R$41,'Barèmes police'!$K$4:$L$30,2),0)</f>
        <v>0</v>
      </c>
      <c r="AX11" s="16" t="str">
        <f>IF('Types de jours'!F17&lt;&gt;"",'Types de jours'!F17,"")</f>
        <v>Malade</v>
      </c>
      <c r="AY11" s="144">
        <f>IF(AX11&lt;&gt;"",'Types de jours'!I17,"")</f>
        <v>0.31666666666666665</v>
      </c>
      <c r="AZ11" s="269"/>
      <c r="BA11" s="154"/>
      <c r="BB11" s="154"/>
      <c r="BC11" s="154"/>
      <c r="BD11" s="154"/>
      <c r="BE11" s="154"/>
      <c r="BF11" s="154"/>
    </row>
    <row r="12" spans="1:58" ht="12.75" customHeight="1" x14ac:dyDescent="0.2">
      <c r="A12" s="34"/>
      <c r="B12" s="24" t="str">
        <f t="shared" si="0"/>
        <v>Me</v>
      </c>
      <c r="C12" s="25">
        <f t="shared" si="22"/>
        <v>45448</v>
      </c>
      <c r="D12" s="51"/>
      <c r="E12" s="116"/>
      <c r="F12" s="52"/>
      <c r="G12" s="53"/>
      <c r="H12" s="52"/>
      <c r="I12" s="53"/>
      <c r="J12" s="54"/>
      <c r="K12" s="55"/>
      <c r="L12" s="40">
        <f t="shared" si="1"/>
        <v>0</v>
      </c>
      <c r="M12" s="41">
        <f t="shared" si="23"/>
        <v>1.2666666666666666</v>
      </c>
      <c r="N12" s="42">
        <f>IF(AND(D12&lt;&gt;"Jour libre 4/5",B12&lt;&gt;"Sa",B12&lt;&gt;"Di"),SUM(N11,Configuration!$H$41),SUM(N11))</f>
        <v>8.233333333333329</v>
      </c>
      <c r="O12" s="49" t="str">
        <f t="shared" si="24"/>
        <v>-</v>
      </c>
      <c r="P12" s="143">
        <f t="shared" si="17"/>
        <v>6.9666666666666623</v>
      </c>
      <c r="Q12" s="167">
        <f t="shared" si="18"/>
        <v>0</v>
      </c>
      <c r="R12" s="168">
        <f t="shared" si="18"/>
        <v>0</v>
      </c>
      <c r="S12" s="168">
        <f t="shared" si="18"/>
        <v>0</v>
      </c>
      <c r="T12" s="169">
        <f t="shared" si="18"/>
        <v>0</v>
      </c>
      <c r="U12" s="97">
        <f t="shared" si="2"/>
        <v>0</v>
      </c>
      <c r="V12" s="97">
        <f t="shared" si="3"/>
        <v>0</v>
      </c>
      <c r="W12" s="97">
        <f t="shared" si="4"/>
        <v>0</v>
      </c>
      <c r="X12" s="97">
        <f t="shared" si="5"/>
        <v>0</v>
      </c>
      <c r="Y12" s="209"/>
      <c r="Z12" s="210"/>
      <c r="AA12" s="210"/>
      <c r="AB12" s="128">
        <f>IF(AND(D12="Jour férié semaine",((G12-F12)+(I12-H12)+(K12-J12)=0)),VLOOKUP(D12,Systeemgegevens!$J:$K,2,FALSE),0)</f>
        <v>0</v>
      </c>
      <c r="AC12" s="43">
        <f>IF(AND(NOT(ISERROR(FIND("Congé",D12))),ISERROR(FIND("1/2",D12)),ISERROR(FIND("Synd",D12)),ISERROR(FIND("synd",D12)),(G12-F12+I12-H12+K12-J12)=0),VLOOKUP(D12,Systeemgegevens!$J:$K,2,FALSE),IF(AND(NOT(ISERROR(FIND("1/2 Congé + ",D12))),(G12-F12+I12-H12+K12-J12)=0),VLOOKUP(D12,Systeemgegevens!$J:$K,2,FALSE)/2,IF(AND(NOT(ISERROR(FIND("1/2 Congé",D12))),ISERROR(FIND(" + ",D12)),ISERROR(FIND("1/2 Congé Synd.",D12))),VLOOKUP(D12,Systeemgegevens!$J:$K,2,FALSE),0)))</f>
        <v>0</v>
      </c>
      <c r="AD12" s="43">
        <f>IF(AND(OR(D12="1/2 Congé Synd.",D12="Congé Synd."),((G12-F12)+(I12-H12)+(K12-J12)=0)),VLOOKUP(D12,Systeemgegevens!$J:$K,2,FALSE),IF(AND(D12="1/2 Congé + 1/2 synd.",((G12-F12)+(I12-H12)+(K12-J12)=0)),AC12,0))</f>
        <v>0</v>
      </c>
      <c r="AE12" s="43">
        <f>IF(AND(D12="Jour de pont",((G12-F12)+(I12-H12)+(K12-J12)=0)),VLOOKUP(D12,Systeemgegevens!$J:$K,2,FALSE),0)</f>
        <v>0</v>
      </c>
      <c r="AF12" s="43">
        <f>IF(AND(D12="Jour libre 4/5",AND((G12-F12)+(I12-H12)+(K12-J12)=0)),VLOOKUP(D12,Systeemgegevens!$J:$K,2,FALSE),0)</f>
        <v>0</v>
      </c>
      <c r="AG12" s="118">
        <f>IF(AND(D12&lt;&gt;"",SUM(AB12:AF12)=0,D12&lt;&gt;$AB$4,D12&lt;&gt;$AC$4,D12&lt;&gt;$AE$4,D12&lt;&gt;$AF$4),VLOOKUP(D12,Systeemgegevens!$J:$K,2,FALSE),0)</f>
        <v>0</v>
      </c>
      <c r="AH12" s="119">
        <f t="shared" si="6"/>
        <v>0</v>
      </c>
      <c r="AI12" s="101">
        <f t="shared" si="7"/>
        <v>0</v>
      </c>
      <c r="AJ12" s="118">
        <f t="shared" si="19"/>
        <v>0</v>
      </c>
      <c r="AK12" s="119">
        <f t="shared" si="8"/>
        <v>0</v>
      </c>
      <c r="AL12" s="101">
        <f t="shared" si="9"/>
        <v>0</v>
      </c>
      <c r="AM12" s="43">
        <f t="shared" si="20"/>
        <v>0</v>
      </c>
      <c r="AN12" s="118">
        <f t="shared" si="21"/>
        <v>0</v>
      </c>
      <c r="AO12" s="122">
        <f t="shared" si="10"/>
        <v>0</v>
      </c>
      <c r="AP12" s="107">
        <f t="shared" si="11"/>
        <v>0</v>
      </c>
      <c r="AQ12" s="107">
        <f t="shared" si="12"/>
        <v>0</v>
      </c>
      <c r="AR12" s="123">
        <f t="shared" si="13"/>
        <v>0</v>
      </c>
      <c r="AS12" s="124">
        <f t="shared" si="14"/>
        <v>0</v>
      </c>
      <c r="AT12" s="124">
        <f t="shared" si="15"/>
        <v>0</v>
      </c>
      <c r="AU12" s="124">
        <f t="shared" si="16"/>
        <v>0</v>
      </c>
      <c r="AV12" s="117" t="s">
        <v>33</v>
      </c>
      <c r="AW12" s="129">
        <f>IF(($R$40=AV12)*AND($R$41&lt;&gt;""),VLOOKUP($R$41,'Barèmes police'!$N$4:$O$30,2),0)</f>
        <v>0</v>
      </c>
      <c r="AX12" s="16" t="str">
        <f>IF('Types de jours'!F18&lt;&gt;"",'Types de jours'!F18,"")</f>
        <v>Acc. de travail</v>
      </c>
      <c r="AY12" s="144">
        <f>IF(AX12&lt;&gt;"",'Types de jours'!I18,"")</f>
        <v>0.31666666666666665</v>
      </c>
      <c r="AZ12" s="269"/>
      <c r="BA12" s="154"/>
      <c r="BB12" s="154"/>
      <c r="BC12" s="154"/>
      <c r="BD12" s="154"/>
      <c r="BE12" s="154"/>
      <c r="BF12" s="154"/>
    </row>
    <row r="13" spans="1:58" ht="12.75" customHeight="1" x14ac:dyDescent="0.2">
      <c r="A13" s="34"/>
      <c r="B13" s="24" t="str">
        <f t="shared" si="0"/>
        <v>Je</v>
      </c>
      <c r="C13" s="25">
        <f t="shared" si="22"/>
        <v>45449</v>
      </c>
      <c r="D13" s="51"/>
      <c r="E13" s="116"/>
      <c r="F13" s="52"/>
      <c r="G13" s="53"/>
      <c r="H13" s="52"/>
      <c r="I13" s="53"/>
      <c r="J13" s="54"/>
      <c r="K13" s="55"/>
      <c r="L13" s="40">
        <f t="shared" si="1"/>
        <v>0</v>
      </c>
      <c r="M13" s="41">
        <f t="shared" si="23"/>
        <v>1.2666666666666666</v>
      </c>
      <c r="N13" s="42">
        <f>IF(AND(D13&lt;&gt;"Jour libre 4/5",B13&lt;&gt;"Sa",B13&lt;&gt;"Di"),SUM(N12,Configuration!$H$41),SUM(N12))</f>
        <v>8.5499999999999954</v>
      </c>
      <c r="O13" s="49" t="str">
        <f t="shared" si="24"/>
        <v>-</v>
      </c>
      <c r="P13" s="143">
        <f t="shared" si="17"/>
        <v>7.2833333333333288</v>
      </c>
      <c r="Q13" s="167">
        <f t="shared" si="18"/>
        <v>0</v>
      </c>
      <c r="R13" s="168">
        <f t="shared" si="18"/>
        <v>0</v>
      </c>
      <c r="S13" s="168">
        <f t="shared" si="18"/>
        <v>0</v>
      </c>
      <c r="T13" s="169">
        <f t="shared" si="18"/>
        <v>0</v>
      </c>
      <c r="U13" s="97">
        <f t="shared" si="2"/>
        <v>0</v>
      </c>
      <c r="V13" s="97">
        <f t="shared" si="3"/>
        <v>0</v>
      </c>
      <c r="W13" s="97">
        <f t="shared" si="4"/>
        <v>0</v>
      </c>
      <c r="X13" s="97">
        <f t="shared" si="5"/>
        <v>0</v>
      </c>
      <c r="Y13" s="209"/>
      <c r="Z13" s="210"/>
      <c r="AA13" s="210"/>
      <c r="AB13" s="128">
        <f>IF(AND(D13="Jour férié semaine",((G13-F13)+(I13-H13)+(K13-J13)=0)),VLOOKUP(D13,Systeemgegevens!$J:$K,2,FALSE),0)</f>
        <v>0</v>
      </c>
      <c r="AC13" s="43">
        <f>IF(AND(NOT(ISERROR(FIND("Congé",D13))),ISERROR(FIND("1/2",D13)),ISERROR(FIND("Synd",D13)),ISERROR(FIND("synd",D13)),(G13-F13+I13-H13+K13-J13)=0),VLOOKUP(D13,Systeemgegevens!$J:$K,2,FALSE),IF(AND(NOT(ISERROR(FIND("1/2 Congé + ",D13))),(G13-F13+I13-H13+K13-J13)=0),VLOOKUP(D13,Systeemgegevens!$J:$K,2,FALSE)/2,IF(AND(NOT(ISERROR(FIND("1/2 Congé",D13))),ISERROR(FIND(" + ",D13)),ISERROR(FIND("1/2 Congé Synd.",D13))),VLOOKUP(D13,Systeemgegevens!$J:$K,2,FALSE),0)))</f>
        <v>0</v>
      </c>
      <c r="AD13" s="43">
        <f>IF(AND(OR(D13="1/2 Congé Synd.",D13="Congé Synd."),((G13-F13)+(I13-H13)+(K13-J13)=0)),VLOOKUP(D13,Systeemgegevens!$J:$K,2,FALSE),IF(AND(D13="1/2 Congé + 1/2 synd.",((G13-F13)+(I13-H13)+(K13-J13)=0)),AC13,0))</f>
        <v>0</v>
      </c>
      <c r="AE13" s="43">
        <f>IF(AND(D13="Jour de pont",((G13-F13)+(I13-H13)+(K13-J13)=0)),VLOOKUP(D13,Systeemgegevens!$J:$K,2,FALSE),0)</f>
        <v>0</v>
      </c>
      <c r="AF13" s="43">
        <f>IF(AND(D13="Jour libre 4/5",AND((G13-F13)+(I13-H13)+(K13-J13)=0)),VLOOKUP(D13,Systeemgegevens!$J:$K,2,FALSE),0)</f>
        <v>0</v>
      </c>
      <c r="AG13" s="118">
        <f>IF(AND(D13&lt;&gt;"",SUM(AB13:AF13)=0,D13&lt;&gt;$AB$4,D13&lt;&gt;$AC$4,D13&lt;&gt;$AE$4,D13&lt;&gt;$AF$4),VLOOKUP(D13,Systeemgegevens!$J:$K,2,FALSE),0)</f>
        <v>0</v>
      </c>
      <c r="AH13" s="119">
        <f t="shared" si="6"/>
        <v>0</v>
      </c>
      <c r="AI13" s="101">
        <f t="shared" si="7"/>
        <v>0</v>
      </c>
      <c r="AJ13" s="118">
        <f t="shared" si="19"/>
        <v>0</v>
      </c>
      <c r="AK13" s="119">
        <f t="shared" si="8"/>
        <v>0</v>
      </c>
      <c r="AL13" s="101">
        <f t="shared" si="9"/>
        <v>0</v>
      </c>
      <c r="AM13" s="43">
        <f t="shared" si="20"/>
        <v>0</v>
      </c>
      <c r="AN13" s="118">
        <f t="shared" si="21"/>
        <v>0</v>
      </c>
      <c r="AO13" s="122">
        <f t="shared" si="10"/>
        <v>0</v>
      </c>
      <c r="AP13" s="107">
        <f t="shared" si="11"/>
        <v>0</v>
      </c>
      <c r="AQ13" s="107">
        <f t="shared" si="12"/>
        <v>0</v>
      </c>
      <c r="AR13" s="123">
        <f t="shared" si="13"/>
        <v>0</v>
      </c>
      <c r="AS13" s="124">
        <f t="shared" si="14"/>
        <v>0</v>
      </c>
      <c r="AT13" s="124">
        <f t="shared" si="15"/>
        <v>0</v>
      </c>
      <c r="AU13" s="124">
        <f t="shared" si="16"/>
        <v>0</v>
      </c>
      <c r="AV13" s="117" t="s">
        <v>32</v>
      </c>
      <c r="AW13" s="129">
        <f>IF(($R$40=AV13)*AND($R$41&lt;&gt;""),VLOOKUP($R$41,'Barèmes police'!$Q$4:$R$30,2),0)</f>
        <v>0</v>
      </c>
      <c r="AX13" s="16" t="str">
        <f>IF('Types de jours'!F19&lt;&gt;"",'Types de jours'!F19,"")</f>
        <v>Congé Synd.</v>
      </c>
      <c r="AY13" s="144">
        <f>IF(AX13&lt;&gt;"",'Types de jours'!I19,"")</f>
        <v>0.31666666666666665</v>
      </c>
      <c r="AZ13" s="269"/>
      <c r="BA13" s="154"/>
      <c r="BB13" s="154"/>
      <c r="BC13" s="154"/>
      <c r="BD13" s="154"/>
      <c r="BE13" s="154"/>
      <c r="BF13" s="154"/>
    </row>
    <row r="14" spans="1:58" ht="12.75" customHeight="1" x14ac:dyDescent="0.2">
      <c r="A14" s="34"/>
      <c r="B14" s="24" t="str">
        <f t="shared" si="0"/>
        <v>Ve</v>
      </c>
      <c r="C14" s="25">
        <f t="shared" si="22"/>
        <v>45450</v>
      </c>
      <c r="D14" s="51"/>
      <c r="E14" s="116"/>
      <c r="F14" s="52"/>
      <c r="G14" s="53"/>
      <c r="H14" s="52"/>
      <c r="I14" s="53"/>
      <c r="J14" s="54"/>
      <c r="K14" s="55"/>
      <c r="L14" s="40">
        <f t="shared" si="1"/>
        <v>0</v>
      </c>
      <c r="M14" s="41">
        <f t="shared" si="23"/>
        <v>1.2666666666666666</v>
      </c>
      <c r="N14" s="42">
        <f>IF(AND(D14&lt;&gt;"Jour libre 4/5",B14&lt;&gt;"Sa",B14&lt;&gt;"Di"),SUM(N13,Configuration!$H$41),SUM(N13))</f>
        <v>8.8666666666666618</v>
      </c>
      <c r="O14" s="49" t="str">
        <f t="shared" si="24"/>
        <v>-</v>
      </c>
      <c r="P14" s="143">
        <f t="shared" si="17"/>
        <v>7.5999999999999952</v>
      </c>
      <c r="Q14" s="167">
        <f t="shared" si="18"/>
        <v>0</v>
      </c>
      <c r="R14" s="168">
        <f t="shared" si="18"/>
        <v>0</v>
      </c>
      <c r="S14" s="168">
        <f t="shared" si="18"/>
        <v>0</v>
      </c>
      <c r="T14" s="169">
        <f t="shared" si="18"/>
        <v>0</v>
      </c>
      <c r="U14" s="97">
        <f t="shared" si="2"/>
        <v>0</v>
      </c>
      <c r="V14" s="97">
        <f t="shared" si="3"/>
        <v>0</v>
      </c>
      <c r="W14" s="97">
        <f t="shared" si="4"/>
        <v>0</v>
      </c>
      <c r="X14" s="97">
        <f t="shared" si="5"/>
        <v>0</v>
      </c>
      <c r="Y14" s="209"/>
      <c r="Z14" s="210"/>
      <c r="AA14" s="210"/>
      <c r="AB14" s="128">
        <f>IF(AND(D14="Jour férié semaine",((G14-F14)+(I14-H14)+(K14-J14)=0)),VLOOKUP(D14,Systeemgegevens!$J:$K,2,FALSE),0)</f>
        <v>0</v>
      </c>
      <c r="AC14" s="43">
        <f>IF(AND(NOT(ISERROR(FIND("Congé",D14))),ISERROR(FIND("1/2",D14)),ISERROR(FIND("Synd",D14)),ISERROR(FIND("synd",D14)),(G14-F14+I14-H14+K14-J14)=0),VLOOKUP(D14,Systeemgegevens!$J:$K,2,FALSE),IF(AND(NOT(ISERROR(FIND("1/2 Congé + ",D14))),(G14-F14+I14-H14+K14-J14)=0),VLOOKUP(D14,Systeemgegevens!$J:$K,2,FALSE)/2,IF(AND(NOT(ISERROR(FIND("1/2 Congé",D14))),ISERROR(FIND(" + ",D14)),ISERROR(FIND("1/2 Congé Synd.",D14))),VLOOKUP(D14,Systeemgegevens!$J:$K,2,FALSE),0)))</f>
        <v>0</v>
      </c>
      <c r="AD14" s="43">
        <f>IF(AND(OR(D14="1/2 Congé Synd.",D14="Congé Synd."),((G14-F14)+(I14-H14)+(K14-J14)=0)),VLOOKUP(D14,Systeemgegevens!$J:$K,2,FALSE),IF(AND(D14="1/2 Congé + 1/2 synd.",((G14-F14)+(I14-H14)+(K14-J14)=0)),AC14,0))</f>
        <v>0</v>
      </c>
      <c r="AE14" s="43">
        <f>IF(AND(D14="Jour de pont",((G14-F14)+(I14-H14)+(K14-J14)=0)),VLOOKUP(D14,Systeemgegevens!$J:$K,2,FALSE),0)</f>
        <v>0</v>
      </c>
      <c r="AF14" s="43">
        <f>IF(AND(D14="Jour libre 4/5",AND((G14-F14)+(I14-H14)+(K14-J14)=0)),VLOOKUP(D14,Systeemgegevens!$J:$K,2,FALSE),0)</f>
        <v>0</v>
      </c>
      <c r="AG14" s="118">
        <f>IF(AND(D14&lt;&gt;"",SUM(AB14:AF14)=0,D14&lt;&gt;$AB$4,D14&lt;&gt;$AC$4,D14&lt;&gt;$AE$4,D14&lt;&gt;$AF$4),VLOOKUP(D14,Systeemgegevens!$J:$K,2,FALSE),0)</f>
        <v>0</v>
      </c>
      <c r="AH14" s="119">
        <f t="shared" si="6"/>
        <v>0</v>
      </c>
      <c r="AI14" s="101">
        <f t="shared" si="7"/>
        <v>0</v>
      </c>
      <c r="AJ14" s="118">
        <f t="shared" si="19"/>
        <v>0</v>
      </c>
      <c r="AK14" s="119">
        <f t="shared" si="8"/>
        <v>0</v>
      </c>
      <c r="AL14" s="101">
        <f t="shared" si="9"/>
        <v>0</v>
      </c>
      <c r="AM14" s="43">
        <f t="shared" si="20"/>
        <v>0</v>
      </c>
      <c r="AN14" s="118">
        <f t="shared" si="21"/>
        <v>0</v>
      </c>
      <c r="AO14" s="122">
        <f t="shared" si="10"/>
        <v>0</v>
      </c>
      <c r="AP14" s="107">
        <f t="shared" si="11"/>
        <v>0</v>
      </c>
      <c r="AQ14" s="107">
        <f t="shared" si="12"/>
        <v>0</v>
      </c>
      <c r="AR14" s="123">
        <f t="shared" si="13"/>
        <v>0</v>
      </c>
      <c r="AS14" s="124">
        <f t="shared" si="14"/>
        <v>0</v>
      </c>
      <c r="AT14" s="124">
        <f t="shared" si="15"/>
        <v>0</v>
      </c>
      <c r="AU14" s="124">
        <f t="shared" si="16"/>
        <v>0</v>
      </c>
      <c r="AV14" s="117" t="s">
        <v>31</v>
      </c>
      <c r="AW14" s="129">
        <f>IF(($R$40=AV14)*AND($R$41&lt;&gt;""),VLOOKUP($R$41,'Barèmes police'!$T$4:$U$30,2),0)</f>
        <v>0</v>
      </c>
      <c r="AX14" s="16" t="str">
        <f>IF('Types de jours'!F20&lt;&gt;"",'Types de jours'!F20,"")</f>
        <v>1/2 Congé Synd.</v>
      </c>
      <c r="AY14" s="144">
        <f>IF(AX14&lt;&gt;"",'Types de jours'!I20,"")</f>
        <v>0.15833333333333333</v>
      </c>
      <c r="AZ14" s="269"/>
      <c r="BA14" s="154"/>
      <c r="BB14" s="154"/>
      <c r="BC14" s="154"/>
      <c r="BD14" s="154"/>
      <c r="BE14" s="154"/>
      <c r="BF14" s="154"/>
    </row>
    <row r="15" spans="1:58" ht="12.75" customHeight="1" x14ac:dyDescent="0.2">
      <c r="A15" s="34"/>
      <c r="B15" s="24" t="str">
        <f t="shared" si="0"/>
        <v>Sa</v>
      </c>
      <c r="C15" s="25">
        <f t="shared" si="22"/>
        <v>45451</v>
      </c>
      <c r="D15" s="51"/>
      <c r="E15" s="116"/>
      <c r="F15" s="52"/>
      <c r="G15" s="53"/>
      <c r="H15" s="52"/>
      <c r="I15" s="53"/>
      <c r="J15" s="54"/>
      <c r="K15" s="55"/>
      <c r="L15" s="40">
        <f t="shared" si="1"/>
        <v>0</v>
      </c>
      <c r="M15" s="41">
        <f t="shared" si="23"/>
        <v>1.2666666666666666</v>
      </c>
      <c r="N15" s="42">
        <f>IF(AND(D15&lt;&gt;"Jour libre 4/5",B15&lt;&gt;"Sa",B15&lt;&gt;"Di"),SUM(N14,Configuration!$H$41),SUM(N14))</f>
        <v>8.8666666666666618</v>
      </c>
      <c r="O15" s="49" t="str">
        <f t="shared" si="24"/>
        <v>-</v>
      </c>
      <c r="P15" s="143">
        <f t="shared" si="17"/>
        <v>7.5999999999999952</v>
      </c>
      <c r="Q15" s="167">
        <f t="shared" si="18"/>
        <v>0</v>
      </c>
      <c r="R15" s="168">
        <f t="shared" si="18"/>
        <v>0</v>
      </c>
      <c r="S15" s="168">
        <f t="shared" si="18"/>
        <v>0</v>
      </c>
      <c r="T15" s="169">
        <f t="shared" si="18"/>
        <v>0</v>
      </c>
      <c r="U15" s="97">
        <f t="shared" si="2"/>
        <v>0</v>
      </c>
      <c r="V15" s="97">
        <f t="shared" si="3"/>
        <v>0</v>
      </c>
      <c r="W15" s="97">
        <f t="shared" si="4"/>
        <v>0</v>
      </c>
      <c r="X15" s="97">
        <f t="shared" si="5"/>
        <v>0</v>
      </c>
      <c r="Y15" s="209"/>
      <c r="Z15" s="210"/>
      <c r="AA15" s="210"/>
      <c r="AB15" s="128">
        <f>IF(AND(D15="Jour férié semaine",((G15-F15)+(I15-H15)+(K15-J15)=0)),VLOOKUP(D15,Systeemgegevens!$J:$K,2,FALSE),0)</f>
        <v>0</v>
      </c>
      <c r="AC15" s="43">
        <f>IF(AND(NOT(ISERROR(FIND("Congé",D15))),ISERROR(FIND("1/2",D15)),ISERROR(FIND("Synd",D15)),ISERROR(FIND("synd",D15)),(G15-F15+I15-H15+K15-J15)=0),VLOOKUP(D15,Systeemgegevens!$J:$K,2,FALSE),IF(AND(NOT(ISERROR(FIND("1/2 Congé + ",D15))),(G15-F15+I15-H15+K15-J15)=0),VLOOKUP(D15,Systeemgegevens!$J:$K,2,FALSE)/2,IF(AND(NOT(ISERROR(FIND("1/2 Congé",D15))),ISERROR(FIND(" + ",D15)),ISERROR(FIND("1/2 Congé Synd.",D15))),VLOOKUP(D15,Systeemgegevens!$J:$K,2,FALSE),0)))</f>
        <v>0</v>
      </c>
      <c r="AD15" s="43">
        <f>IF(AND(OR(D15="1/2 Congé Synd.",D15="Congé Synd."),((G15-F15)+(I15-H15)+(K15-J15)=0)),VLOOKUP(D15,Systeemgegevens!$J:$K,2,FALSE),IF(AND(D15="1/2 Congé + 1/2 synd.",((G15-F15)+(I15-H15)+(K15-J15)=0)),AC15,0))</f>
        <v>0</v>
      </c>
      <c r="AE15" s="43">
        <f>IF(AND(D15="Jour de pont",((G15-F15)+(I15-H15)+(K15-J15)=0)),VLOOKUP(D15,Systeemgegevens!$J:$K,2,FALSE),0)</f>
        <v>0</v>
      </c>
      <c r="AF15" s="43">
        <f>IF(AND(D15="Jour libre 4/5",AND((G15-F15)+(I15-H15)+(K15-J15)=0)),VLOOKUP(D15,Systeemgegevens!$J:$K,2,FALSE),0)</f>
        <v>0</v>
      </c>
      <c r="AG15" s="118">
        <f>IF(AND(D15&lt;&gt;"",SUM(AB15:AF15)=0,D15&lt;&gt;$AB$4,D15&lt;&gt;$AC$4,D15&lt;&gt;$AE$4,D15&lt;&gt;$AF$4),VLOOKUP(D15,Systeemgegevens!$J:$K,2,FALSE),0)</f>
        <v>0</v>
      </c>
      <c r="AH15" s="119">
        <f t="shared" si="6"/>
        <v>0</v>
      </c>
      <c r="AI15" s="101">
        <f t="shared" si="7"/>
        <v>0</v>
      </c>
      <c r="AJ15" s="118">
        <f t="shared" si="19"/>
        <v>0</v>
      </c>
      <c r="AK15" s="119">
        <f t="shared" si="8"/>
        <v>0</v>
      </c>
      <c r="AL15" s="101">
        <f t="shared" si="9"/>
        <v>0</v>
      </c>
      <c r="AM15" s="43">
        <f t="shared" si="20"/>
        <v>0</v>
      </c>
      <c r="AN15" s="118">
        <f t="shared" si="21"/>
        <v>0</v>
      </c>
      <c r="AO15" s="122">
        <f t="shared" si="10"/>
        <v>0</v>
      </c>
      <c r="AP15" s="107">
        <f t="shared" si="11"/>
        <v>0</v>
      </c>
      <c r="AQ15" s="107">
        <f t="shared" si="12"/>
        <v>0</v>
      </c>
      <c r="AR15" s="123">
        <f t="shared" si="13"/>
        <v>0</v>
      </c>
      <c r="AS15" s="124">
        <f t="shared" si="14"/>
        <v>0</v>
      </c>
      <c r="AT15" s="124">
        <f t="shared" si="15"/>
        <v>0</v>
      </c>
      <c r="AU15" s="124">
        <f t="shared" si="16"/>
        <v>0</v>
      </c>
      <c r="AV15" s="117" t="s">
        <v>30</v>
      </c>
      <c r="AW15" s="129">
        <f>IF(($R$40=AV15)*AND($R$41&lt;&gt;""),VLOOKUP($R$41,'Barèmes police'!$W$4:$X$30,2),0)</f>
        <v>0</v>
      </c>
      <c r="AX15" s="16" t="str">
        <f>IF('Types de jours'!F21&lt;&gt;"",'Types de jours'!F21,"")</f>
        <v>1/2 Congé + 1/2 synd.</v>
      </c>
      <c r="AY15" s="144">
        <f>IF(AX15&lt;&gt;"",'Types de jours'!I21,"")</f>
        <v>0.31666666666666665</v>
      </c>
      <c r="AZ15" s="269"/>
      <c r="BA15" s="154"/>
      <c r="BB15" s="154"/>
      <c r="BC15" s="154"/>
      <c r="BD15" s="154"/>
      <c r="BE15" s="154"/>
      <c r="BF15" s="154"/>
    </row>
    <row r="16" spans="1:58" ht="12.75" customHeight="1" x14ac:dyDescent="0.2">
      <c r="A16" s="34"/>
      <c r="B16" s="24" t="str">
        <f t="shared" si="0"/>
        <v>Di</v>
      </c>
      <c r="C16" s="25">
        <f t="shared" si="22"/>
        <v>45452</v>
      </c>
      <c r="D16" s="51"/>
      <c r="E16" s="116"/>
      <c r="F16" s="52"/>
      <c r="G16" s="53"/>
      <c r="H16" s="52"/>
      <c r="I16" s="53"/>
      <c r="J16" s="54"/>
      <c r="K16" s="55"/>
      <c r="L16" s="40">
        <f t="shared" si="1"/>
        <v>0</v>
      </c>
      <c r="M16" s="41">
        <f t="shared" si="23"/>
        <v>1.2666666666666666</v>
      </c>
      <c r="N16" s="42">
        <f>IF(AND(D16&lt;&gt;"Jour libre 4/5",B16&lt;&gt;"Sa",B16&lt;&gt;"Di"),SUM(N15,Configuration!$H$41),SUM(N15))</f>
        <v>8.8666666666666618</v>
      </c>
      <c r="O16" s="49" t="str">
        <f t="shared" si="24"/>
        <v>-</v>
      </c>
      <c r="P16" s="143">
        <f t="shared" si="17"/>
        <v>7.5999999999999952</v>
      </c>
      <c r="Q16" s="167">
        <f t="shared" si="18"/>
        <v>0</v>
      </c>
      <c r="R16" s="168">
        <f t="shared" si="18"/>
        <v>0</v>
      </c>
      <c r="S16" s="168">
        <f t="shared" si="18"/>
        <v>0</v>
      </c>
      <c r="T16" s="169">
        <f t="shared" si="18"/>
        <v>0</v>
      </c>
      <c r="U16" s="97">
        <f t="shared" si="2"/>
        <v>0</v>
      </c>
      <c r="V16" s="97">
        <f t="shared" si="3"/>
        <v>0</v>
      </c>
      <c r="W16" s="97">
        <f t="shared" si="4"/>
        <v>0</v>
      </c>
      <c r="X16" s="97">
        <f t="shared" si="5"/>
        <v>0</v>
      </c>
      <c r="Y16" s="209"/>
      <c r="Z16" s="210"/>
      <c r="AA16" s="210"/>
      <c r="AB16" s="128">
        <f>IF(AND(D16="Jour férié semaine",((G16-F16)+(I16-H16)+(K16-J16)=0)),VLOOKUP(D16,Systeemgegevens!$J:$K,2,FALSE),0)</f>
        <v>0</v>
      </c>
      <c r="AC16" s="43">
        <f>IF(AND(NOT(ISERROR(FIND("Congé",D16))),ISERROR(FIND("1/2",D16)),ISERROR(FIND("Synd",D16)),ISERROR(FIND("synd",D16)),(G16-F16+I16-H16+K16-J16)=0),VLOOKUP(D16,Systeemgegevens!$J:$K,2,FALSE),IF(AND(NOT(ISERROR(FIND("1/2 Congé + ",D16))),(G16-F16+I16-H16+K16-J16)=0),VLOOKUP(D16,Systeemgegevens!$J:$K,2,FALSE)/2,IF(AND(NOT(ISERROR(FIND("1/2 Congé",D16))),ISERROR(FIND(" + ",D16)),ISERROR(FIND("1/2 Congé Synd.",D16))),VLOOKUP(D16,Systeemgegevens!$J:$K,2,FALSE),0)))</f>
        <v>0</v>
      </c>
      <c r="AD16" s="43">
        <f>IF(AND(OR(D16="1/2 Congé Synd.",D16="Congé Synd."),((G16-F16)+(I16-H16)+(K16-J16)=0)),VLOOKUP(D16,Systeemgegevens!$J:$K,2,FALSE),IF(AND(D16="1/2 Congé + 1/2 synd.",((G16-F16)+(I16-H16)+(K16-J16)=0)),AC16,0))</f>
        <v>0</v>
      </c>
      <c r="AE16" s="43">
        <f>IF(AND(D16="Jour de pont",((G16-F16)+(I16-H16)+(K16-J16)=0)),VLOOKUP(D16,Systeemgegevens!$J:$K,2,FALSE),0)</f>
        <v>0</v>
      </c>
      <c r="AF16" s="43">
        <f>IF(AND(D16="Jour libre 4/5",AND((G16-F16)+(I16-H16)+(K16-J16)=0)),VLOOKUP(D16,Systeemgegevens!$J:$K,2,FALSE),0)</f>
        <v>0</v>
      </c>
      <c r="AG16" s="118">
        <f>IF(AND(D16&lt;&gt;"",SUM(AB16:AF16)=0,D16&lt;&gt;$AB$4,D16&lt;&gt;$AC$4,D16&lt;&gt;$AE$4,D16&lt;&gt;$AF$4),VLOOKUP(D16,Systeemgegevens!$J:$K,2,FALSE),0)</f>
        <v>0</v>
      </c>
      <c r="AH16" s="119">
        <f t="shared" si="6"/>
        <v>0</v>
      </c>
      <c r="AI16" s="101">
        <f t="shared" si="7"/>
        <v>0</v>
      </c>
      <c r="AJ16" s="118">
        <f t="shared" si="19"/>
        <v>0</v>
      </c>
      <c r="AK16" s="119">
        <f t="shared" si="8"/>
        <v>0</v>
      </c>
      <c r="AL16" s="101">
        <f t="shared" si="9"/>
        <v>0</v>
      </c>
      <c r="AM16" s="43">
        <f t="shared" si="20"/>
        <v>0</v>
      </c>
      <c r="AN16" s="118">
        <f t="shared" si="21"/>
        <v>0</v>
      </c>
      <c r="AO16" s="122">
        <f t="shared" si="10"/>
        <v>0</v>
      </c>
      <c r="AP16" s="107">
        <f t="shared" si="11"/>
        <v>0</v>
      </c>
      <c r="AQ16" s="107">
        <f t="shared" si="12"/>
        <v>0</v>
      </c>
      <c r="AR16" s="123">
        <f t="shared" si="13"/>
        <v>0</v>
      </c>
      <c r="AS16" s="124">
        <f t="shared" si="14"/>
        <v>0</v>
      </c>
      <c r="AT16" s="124">
        <f t="shared" si="15"/>
        <v>0</v>
      </c>
      <c r="AU16" s="124">
        <f t="shared" si="16"/>
        <v>0</v>
      </c>
      <c r="AV16" s="117" t="s">
        <v>29</v>
      </c>
      <c r="AW16" s="129">
        <f>IF(($R$40=AV16)*AND($R$41&lt;&gt;""),VLOOKUP($R$41,'Barèmes police'!$Z$4:$AA$30,2),0)</f>
        <v>0</v>
      </c>
      <c r="AX16" s="16" t="str">
        <f>IF('Types de jours'!F22&lt;&gt;"",'Types de jours'!F22,"")</f>
        <v>Jour férié semaine</v>
      </c>
      <c r="AY16" s="144">
        <f>IF(AX16&lt;&gt;"",'Types de jours'!I22,"")</f>
        <v>0.31666666666666665</v>
      </c>
      <c r="AZ16" s="269"/>
      <c r="BA16" s="154"/>
      <c r="BB16" s="154"/>
      <c r="BC16" s="154"/>
      <c r="BD16" s="154"/>
      <c r="BE16" s="154"/>
      <c r="BF16" s="154"/>
    </row>
    <row r="17" spans="1:58" ht="12.75" customHeight="1" x14ac:dyDescent="0.2">
      <c r="A17" s="34"/>
      <c r="B17" s="24" t="str">
        <f t="shared" si="0"/>
        <v>Lu</v>
      </c>
      <c r="C17" s="25">
        <f t="shared" si="22"/>
        <v>45453</v>
      </c>
      <c r="D17" s="51"/>
      <c r="E17" s="116"/>
      <c r="F17" s="52"/>
      <c r="G17" s="53"/>
      <c r="H17" s="52"/>
      <c r="I17" s="53"/>
      <c r="J17" s="54"/>
      <c r="K17" s="55"/>
      <c r="L17" s="40">
        <f t="shared" si="1"/>
        <v>0</v>
      </c>
      <c r="M17" s="41">
        <f t="shared" si="23"/>
        <v>1.2666666666666666</v>
      </c>
      <c r="N17" s="42">
        <f>IF(AND(D17&lt;&gt;"Jour libre 4/5",B17&lt;&gt;"Sa",B17&lt;&gt;"Di"),SUM(N16,Configuration!$H$41),SUM(N16))</f>
        <v>9.1833333333333282</v>
      </c>
      <c r="O17" s="49" t="str">
        <f t="shared" si="24"/>
        <v>-</v>
      </c>
      <c r="P17" s="143">
        <f t="shared" si="17"/>
        <v>7.9166666666666616</v>
      </c>
      <c r="Q17" s="167">
        <f t="shared" si="18"/>
        <v>0</v>
      </c>
      <c r="R17" s="168">
        <f t="shared" si="18"/>
        <v>0</v>
      </c>
      <c r="S17" s="168">
        <f t="shared" si="18"/>
        <v>0</v>
      </c>
      <c r="T17" s="169">
        <f t="shared" si="18"/>
        <v>0</v>
      </c>
      <c r="U17" s="97">
        <f t="shared" si="2"/>
        <v>0</v>
      </c>
      <c r="V17" s="97">
        <f t="shared" si="3"/>
        <v>0</v>
      </c>
      <c r="W17" s="97">
        <f t="shared" si="4"/>
        <v>0</v>
      </c>
      <c r="X17" s="97">
        <f t="shared" si="5"/>
        <v>0</v>
      </c>
      <c r="Y17" s="209"/>
      <c r="Z17" s="210"/>
      <c r="AA17" s="210"/>
      <c r="AB17" s="128">
        <f>IF(AND(D17="Jour férié semaine",((G17-F17)+(I17-H17)+(K17-J17)=0)),VLOOKUP(D17,Systeemgegevens!$J:$K,2,FALSE),0)</f>
        <v>0</v>
      </c>
      <c r="AC17" s="43">
        <f>IF(AND(NOT(ISERROR(FIND("Congé",D17))),ISERROR(FIND("1/2",D17)),ISERROR(FIND("Synd",D17)),ISERROR(FIND("synd",D17)),(G17-F17+I17-H17+K17-J17)=0),VLOOKUP(D17,Systeemgegevens!$J:$K,2,FALSE),IF(AND(NOT(ISERROR(FIND("1/2 Congé + ",D17))),(G17-F17+I17-H17+K17-J17)=0),VLOOKUP(D17,Systeemgegevens!$J:$K,2,FALSE)/2,IF(AND(NOT(ISERROR(FIND("1/2 Congé",D17))),ISERROR(FIND(" + ",D17)),ISERROR(FIND("1/2 Congé Synd.",D17))),VLOOKUP(D17,Systeemgegevens!$J:$K,2,FALSE),0)))</f>
        <v>0</v>
      </c>
      <c r="AD17" s="43">
        <f>IF(AND(OR(D17="1/2 Congé Synd.",D17="Congé Synd."),((G17-F17)+(I17-H17)+(K17-J17)=0)),VLOOKUP(D17,Systeemgegevens!$J:$K,2,FALSE),IF(AND(D17="1/2 Congé + 1/2 synd.",((G17-F17)+(I17-H17)+(K17-J17)=0)),AC17,0))</f>
        <v>0</v>
      </c>
      <c r="AE17" s="43">
        <f>IF(AND(D17="Jour de pont",((G17-F17)+(I17-H17)+(K17-J17)=0)),VLOOKUP(D17,Systeemgegevens!$J:$K,2,FALSE),0)</f>
        <v>0</v>
      </c>
      <c r="AF17" s="43">
        <f>IF(AND(D17="Jour libre 4/5",AND((G17-F17)+(I17-H17)+(K17-J17)=0)),VLOOKUP(D17,Systeemgegevens!$J:$K,2,FALSE),0)</f>
        <v>0</v>
      </c>
      <c r="AG17" s="118">
        <f>IF(AND(D17&lt;&gt;"",SUM(AB17:AF17)=0,D17&lt;&gt;$AB$4,D17&lt;&gt;$AC$4,D17&lt;&gt;$AE$4,D17&lt;&gt;$AF$4),VLOOKUP(D17,Systeemgegevens!$J:$K,2,FALSE),0)</f>
        <v>0</v>
      </c>
      <c r="AH17" s="119">
        <f t="shared" si="6"/>
        <v>0</v>
      </c>
      <c r="AI17" s="101">
        <f t="shared" si="7"/>
        <v>0</v>
      </c>
      <c r="AJ17" s="118">
        <f t="shared" si="19"/>
        <v>0</v>
      </c>
      <c r="AK17" s="119">
        <f t="shared" si="8"/>
        <v>0</v>
      </c>
      <c r="AL17" s="101">
        <f t="shared" si="9"/>
        <v>0</v>
      </c>
      <c r="AM17" s="43">
        <f t="shared" si="20"/>
        <v>0</v>
      </c>
      <c r="AN17" s="118">
        <f t="shared" si="21"/>
        <v>0</v>
      </c>
      <c r="AO17" s="122">
        <f t="shared" si="10"/>
        <v>0</v>
      </c>
      <c r="AP17" s="107">
        <f t="shared" si="11"/>
        <v>0</v>
      </c>
      <c r="AQ17" s="107">
        <f t="shared" si="12"/>
        <v>0</v>
      </c>
      <c r="AR17" s="123">
        <f t="shared" si="13"/>
        <v>0</v>
      </c>
      <c r="AS17" s="124">
        <f t="shared" si="14"/>
        <v>0</v>
      </c>
      <c r="AT17" s="124">
        <f t="shared" si="15"/>
        <v>0</v>
      </c>
      <c r="AU17" s="124">
        <f t="shared" si="16"/>
        <v>0</v>
      </c>
      <c r="AV17" s="117" t="s">
        <v>28</v>
      </c>
      <c r="AW17" s="129">
        <f>IF(($R$40=AV17)*AND($R$41&lt;&gt;""),VLOOKUP($R$41,'Barèmes police'!$AC$4:$AD$30,2),0)</f>
        <v>0</v>
      </c>
      <c r="AX17" s="16" t="str">
        <f>IF('Types de jours'!F23&lt;&gt;"",'Types de jours'!F23,"")</f>
        <v>Jour libre 4/5</v>
      </c>
      <c r="AY17" s="144">
        <f>IF(AX17&lt;&gt;"",'Types de jours'!I23,"")</f>
        <v>0</v>
      </c>
      <c r="AZ17" s="269"/>
      <c r="BA17" s="154"/>
      <c r="BB17" s="154"/>
      <c r="BC17" s="154"/>
      <c r="BD17" s="154"/>
      <c r="BE17" s="154"/>
      <c r="BF17" s="154"/>
    </row>
    <row r="18" spans="1:58" ht="12.75" customHeight="1" x14ac:dyDescent="0.2">
      <c r="A18" s="34"/>
      <c r="B18" s="24" t="str">
        <f t="shared" si="0"/>
        <v>Ma</v>
      </c>
      <c r="C18" s="25">
        <f t="shared" si="22"/>
        <v>45454</v>
      </c>
      <c r="D18" s="51"/>
      <c r="E18" s="116"/>
      <c r="F18" s="52"/>
      <c r="G18" s="53"/>
      <c r="H18" s="52"/>
      <c r="I18" s="53"/>
      <c r="J18" s="54"/>
      <c r="K18" s="55"/>
      <c r="L18" s="40">
        <f t="shared" si="1"/>
        <v>0</v>
      </c>
      <c r="M18" s="41">
        <f t="shared" si="23"/>
        <v>1.2666666666666666</v>
      </c>
      <c r="N18" s="42">
        <f>IF(AND(D18&lt;&gt;"Jour libre 4/5",B18&lt;&gt;"Sa",B18&lt;&gt;"Di"),SUM(N17,Configuration!$H$41),SUM(N17))</f>
        <v>9.4999999999999947</v>
      </c>
      <c r="O18" s="49" t="str">
        <f t="shared" si="24"/>
        <v>-</v>
      </c>
      <c r="P18" s="143">
        <f t="shared" si="17"/>
        <v>8.2333333333333272</v>
      </c>
      <c r="Q18" s="167">
        <f t="shared" si="18"/>
        <v>0</v>
      </c>
      <c r="R18" s="168">
        <f t="shared" si="18"/>
        <v>0</v>
      </c>
      <c r="S18" s="168">
        <f t="shared" si="18"/>
        <v>0</v>
      </c>
      <c r="T18" s="169">
        <f t="shared" si="18"/>
        <v>0</v>
      </c>
      <c r="U18" s="97">
        <f t="shared" si="2"/>
        <v>0</v>
      </c>
      <c r="V18" s="97">
        <f t="shared" si="3"/>
        <v>0</v>
      </c>
      <c r="W18" s="97">
        <f t="shared" si="4"/>
        <v>0</v>
      </c>
      <c r="X18" s="97">
        <f t="shared" si="5"/>
        <v>0</v>
      </c>
      <c r="Y18" s="209"/>
      <c r="Z18" s="210"/>
      <c r="AA18" s="210"/>
      <c r="AB18" s="128">
        <f>IF(AND(D18="Jour férié semaine",((G18-F18)+(I18-H18)+(K18-J18)=0)),VLOOKUP(D18,Systeemgegevens!$J:$K,2,FALSE),0)</f>
        <v>0</v>
      </c>
      <c r="AC18" s="43">
        <f>IF(AND(NOT(ISERROR(FIND("Congé",D18))),ISERROR(FIND("1/2",D18)),ISERROR(FIND("Synd",D18)),ISERROR(FIND("synd",D18)),(G18-F18+I18-H18+K18-J18)=0),VLOOKUP(D18,Systeemgegevens!$J:$K,2,FALSE),IF(AND(NOT(ISERROR(FIND("1/2 Congé + ",D18))),(G18-F18+I18-H18+K18-J18)=0),VLOOKUP(D18,Systeemgegevens!$J:$K,2,FALSE)/2,IF(AND(NOT(ISERROR(FIND("1/2 Congé",D18))),ISERROR(FIND(" + ",D18)),ISERROR(FIND("1/2 Congé Synd.",D18))),VLOOKUP(D18,Systeemgegevens!$J:$K,2,FALSE),0)))</f>
        <v>0</v>
      </c>
      <c r="AD18" s="43">
        <f>IF(AND(OR(D18="1/2 Congé Synd.",D18="Congé Synd."),((G18-F18)+(I18-H18)+(K18-J18)=0)),VLOOKUP(D18,Systeemgegevens!$J:$K,2,FALSE),IF(AND(D18="1/2 Congé + 1/2 synd.",((G18-F18)+(I18-H18)+(K18-J18)=0)),AC18,0))</f>
        <v>0</v>
      </c>
      <c r="AE18" s="43">
        <f>IF(AND(D18="Jour de pont",((G18-F18)+(I18-H18)+(K18-J18)=0)),VLOOKUP(D18,Systeemgegevens!$J:$K,2,FALSE),0)</f>
        <v>0</v>
      </c>
      <c r="AF18" s="43">
        <f>IF(AND(D18="Jour libre 4/5",AND((G18-F18)+(I18-H18)+(K18-J18)=0)),VLOOKUP(D18,Systeemgegevens!$J:$K,2,FALSE),0)</f>
        <v>0</v>
      </c>
      <c r="AG18" s="118">
        <f>IF(AND(D18&lt;&gt;"",SUM(AB18:AF18)=0,D18&lt;&gt;$AB$4,D18&lt;&gt;$AC$4,D18&lt;&gt;$AE$4,D18&lt;&gt;$AF$4),VLOOKUP(D18,Systeemgegevens!$J:$K,2,FALSE),0)</f>
        <v>0</v>
      </c>
      <c r="AH18" s="119">
        <f t="shared" si="6"/>
        <v>0</v>
      </c>
      <c r="AI18" s="101">
        <f t="shared" si="7"/>
        <v>0</v>
      </c>
      <c r="AJ18" s="118">
        <f t="shared" si="19"/>
        <v>0</v>
      </c>
      <c r="AK18" s="119">
        <f t="shared" si="8"/>
        <v>0</v>
      </c>
      <c r="AL18" s="101">
        <f t="shared" si="9"/>
        <v>0</v>
      </c>
      <c r="AM18" s="43">
        <f t="shared" si="20"/>
        <v>0</v>
      </c>
      <c r="AN18" s="118">
        <f t="shared" si="21"/>
        <v>0</v>
      </c>
      <c r="AO18" s="122">
        <f t="shared" si="10"/>
        <v>0</v>
      </c>
      <c r="AP18" s="107">
        <f t="shared" si="11"/>
        <v>0</v>
      </c>
      <c r="AQ18" s="107">
        <f t="shared" si="12"/>
        <v>0</v>
      </c>
      <c r="AR18" s="123">
        <f t="shared" si="13"/>
        <v>0</v>
      </c>
      <c r="AS18" s="124">
        <f t="shared" si="14"/>
        <v>0</v>
      </c>
      <c r="AT18" s="124">
        <f t="shared" si="15"/>
        <v>0</v>
      </c>
      <c r="AU18" s="124">
        <f t="shared" si="16"/>
        <v>0</v>
      </c>
      <c r="AV18" s="117" t="s">
        <v>27</v>
      </c>
      <c r="AW18" s="129">
        <f>IF(($R$40=AV18)*AND($R$41&lt;&gt;""),VLOOKUP($R$41,'Barèmes police'!$AF$4:$AG$30,2),0)</f>
        <v>0</v>
      </c>
      <c r="AX18" s="16" t="str">
        <f>IF('Types de jours'!F24&lt;&gt;"",'Types de jours'!F24,"")</f>
        <v>Jour de pont</v>
      </c>
      <c r="AY18" s="144">
        <f>IF(AX18&lt;&gt;"",'Types de jours'!I24,"")</f>
        <v>0.31666666666666665</v>
      </c>
      <c r="AZ18" s="269"/>
      <c r="BA18" s="154"/>
      <c r="BB18" s="154"/>
      <c r="BC18" s="154"/>
      <c r="BD18" s="154"/>
      <c r="BE18" s="154"/>
      <c r="BF18" s="154"/>
    </row>
    <row r="19" spans="1:58" ht="12.75" customHeight="1" x14ac:dyDescent="0.2">
      <c r="A19" s="34"/>
      <c r="B19" s="24" t="str">
        <f t="shared" si="0"/>
        <v>Me</v>
      </c>
      <c r="C19" s="25">
        <f t="shared" si="22"/>
        <v>45455</v>
      </c>
      <c r="D19" s="51"/>
      <c r="E19" s="116"/>
      <c r="F19" s="52"/>
      <c r="G19" s="53"/>
      <c r="H19" s="52"/>
      <c r="I19" s="53"/>
      <c r="J19" s="54"/>
      <c r="K19" s="55"/>
      <c r="L19" s="40">
        <f t="shared" si="1"/>
        <v>0</v>
      </c>
      <c r="M19" s="41">
        <f t="shared" si="23"/>
        <v>1.2666666666666666</v>
      </c>
      <c r="N19" s="42">
        <f>IF(AND(D19&lt;&gt;"Jour libre 4/5",B19&lt;&gt;"Sa",B19&lt;&gt;"Di"),SUM(N18,Configuration!$H$41),SUM(N18))</f>
        <v>9.8166666666666611</v>
      </c>
      <c r="O19" s="49" t="str">
        <f t="shared" si="24"/>
        <v>-</v>
      </c>
      <c r="P19" s="143">
        <f t="shared" si="17"/>
        <v>8.5499999999999936</v>
      </c>
      <c r="Q19" s="167">
        <f t="shared" si="18"/>
        <v>0</v>
      </c>
      <c r="R19" s="168">
        <f t="shared" si="18"/>
        <v>0</v>
      </c>
      <c r="S19" s="168">
        <f t="shared" si="18"/>
        <v>0</v>
      </c>
      <c r="T19" s="169">
        <f t="shared" si="18"/>
        <v>0</v>
      </c>
      <c r="U19" s="97">
        <f t="shared" si="2"/>
        <v>0</v>
      </c>
      <c r="V19" s="97">
        <f t="shared" si="3"/>
        <v>0</v>
      </c>
      <c r="W19" s="97">
        <f t="shared" si="4"/>
        <v>0</v>
      </c>
      <c r="X19" s="97">
        <f t="shared" si="5"/>
        <v>0</v>
      </c>
      <c r="Y19" s="209"/>
      <c r="Z19" s="210"/>
      <c r="AA19" s="210"/>
      <c r="AB19" s="128">
        <f>IF(AND(D19="Jour férié semaine",((G19-F19)+(I19-H19)+(K19-J19)=0)),VLOOKUP(D19,Systeemgegevens!$J:$K,2,FALSE),0)</f>
        <v>0</v>
      </c>
      <c r="AC19" s="43">
        <f>IF(AND(NOT(ISERROR(FIND("Congé",D19))),ISERROR(FIND("1/2",D19)),ISERROR(FIND("Synd",D19)),ISERROR(FIND("synd",D19)),(G19-F19+I19-H19+K19-J19)=0),VLOOKUP(D19,Systeemgegevens!$J:$K,2,FALSE),IF(AND(NOT(ISERROR(FIND("1/2 Congé + ",D19))),(G19-F19+I19-H19+K19-J19)=0),VLOOKUP(D19,Systeemgegevens!$J:$K,2,FALSE)/2,IF(AND(NOT(ISERROR(FIND("1/2 Congé",D19))),ISERROR(FIND(" + ",D19)),ISERROR(FIND("1/2 Congé Synd.",D19))),VLOOKUP(D19,Systeemgegevens!$J:$K,2,FALSE),0)))</f>
        <v>0</v>
      </c>
      <c r="AD19" s="43">
        <f>IF(AND(OR(D19="1/2 Congé Synd.",D19="Congé Synd."),((G19-F19)+(I19-H19)+(K19-J19)=0)),VLOOKUP(D19,Systeemgegevens!$J:$K,2,FALSE),IF(AND(D19="1/2 Congé + 1/2 synd.",((G19-F19)+(I19-H19)+(K19-J19)=0)),AC19,0))</f>
        <v>0</v>
      </c>
      <c r="AE19" s="43">
        <f>IF(AND(D19="Jour de pont",((G19-F19)+(I19-H19)+(K19-J19)=0)),VLOOKUP(D19,Systeemgegevens!$J:$K,2,FALSE),0)</f>
        <v>0</v>
      </c>
      <c r="AF19" s="43">
        <f>IF(AND(D19="Jour libre 4/5",AND((G19-F19)+(I19-H19)+(K19-J19)=0)),VLOOKUP(D19,Systeemgegevens!$J:$K,2,FALSE),0)</f>
        <v>0</v>
      </c>
      <c r="AG19" s="118">
        <f>IF(AND(D19&lt;&gt;"",SUM(AB19:AF19)=0,D19&lt;&gt;$AB$4,D19&lt;&gt;$AC$4,D19&lt;&gt;$AE$4,D19&lt;&gt;$AF$4),VLOOKUP(D19,Systeemgegevens!$J:$K,2,FALSE),0)</f>
        <v>0</v>
      </c>
      <c r="AH19" s="119">
        <f t="shared" si="6"/>
        <v>0</v>
      </c>
      <c r="AI19" s="101">
        <f t="shared" si="7"/>
        <v>0</v>
      </c>
      <c r="AJ19" s="118">
        <f t="shared" si="19"/>
        <v>0</v>
      </c>
      <c r="AK19" s="119">
        <f t="shared" si="8"/>
        <v>0</v>
      </c>
      <c r="AL19" s="101">
        <f t="shared" si="9"/>
        <v>0</v>
      </c>
      <c r="AM19" s="43">
        <f t="shared" si="20"/>
        <v>0</v>
      </c>
      <c r="AN19" s="118">
        <f t="shared" si="21"/>
        <v>0</v>
      </c>
      <c r="AO19" s="122">
        <f t="shared" si="10"/>
        <v>0</v>
      </c>
      <c r="AP19" s="107">
        <f t="shared" si="11"/>
        <v>0</v>
      </c>
      <c r="AQ19" s="107">
        <f t="shared" si="12"/>
        <v>0</v>
      </c>
      <c r="AR19" s="123">
        <f t="shared" si="13"/>
        <v>0</v>
      </c>
      <c r="AS19" s="124">
        <f t="shared" si="14"/>
        <v>0</v>
      </c>
      <c r="AT19" s="124">
        <f t="shared" si="15"/>
        <v>0</v>
      </c>
      <c r="AU19" s="124">
        <f t="shared" si="16"/>
        <v>0</v>
      </c>
      <c r="AV19" s="117" t="s">
        <v>26</v>
      </c>
      <c r="AW19" s="129">
        <f>IF(($R$40=AV19)*AND($R$41&lt;&gt;""),VLOOKUP($R$41,'Barèmes police'!$AI$4:$AJ$30,2),0)</f>
        <v>0</v>
      </c>
      <c r="AX19" s="16" t="str">
        <f>IF('Types de jours'!F25&lt;&gt;"",'Types de jours'!F25,"")</f>
        <v>Congé 12h</v>
      </c>
      <c r="AY19" s="144">
        <f>IF(AX19&lt;&gt;"",'Types de jours'!I25,"")</f>
        <v>0.5</v>
      </c>
      <c r="AZ19" s="269"/>
      <c r="BA19" s="154"/>
      <c r="BB19" s="154"/>
      <c r="BC19" s="154"/>
      <c r="BD19" s="154"/>
      <c r="BE19" s="154"/>
      <c r="BF19" s="154"/>
    </row>
    <row r="20" spans="1:58" ht="12.75" customHeight="1" x14ac:dyDescent="0.2">
      <c r="A20" s="34"/>
      <c r="B20" s="24" t="str">
        <f t="shared" si="0"/>
        <v>Je</v>
      </c>
      <c r="C20" s="25">
        <f t="shared" si="22"/>
        <v>45456</v>
      </c>
      <c r="D20" s="51"/>
      <c r="E20" s="116"/>
      <c r="F20" s="52"/>
      <c r="G20" s="53"/>
      <c r="H20" s="52"/>
      <c r="I20" s="53"/>
      <c r="J20" s="54"/>
      <c r="K20" s="55"/>
      <c r="L20" s="40">
        <f t="shared" si="1"/>
        <v>0</v>
      </c>
      <c r="M20" s="41">
        <f t="shared" si="23"/>
        <v>1.2666666666666666</v>
      </c>
      <c r="N20" s="42">
        <f>IF(AND(D20&lt;&gt;"Jour libre 4/5",B20&lt;&gt;"Sa",B20&lt;&gt;"Di"),SUM(N19,Configuration!$H$41),SUM(N19))</f>
        <v>10.133333333333328</v>
      </c>
      <c r="O20" s="49" t="str">
        <f t="shared" si="24"/>
        <v>-</v>
      </c>
      <c r="P20" s="143">
        <f t="shared" si="17"/>
        <v>8.86666666666666</v>
      </c>
      <c r="Q20" s="167">
        <f t="shared" si="18"/>
        <v>0</v>
      </c>
      <c r="R20" s="168">
        <f t="shared" si="18"/>
        <v>0</v>
      </c>
      <c r="S20" s="168">
        <f t="shared" si="18"/>
        <v>0</v>
      </c>
      <c r="T20" s="169">
        <f t="shared" si="18"/>
        <v>0</v>
      </c>
      <c r="U20" s="97">
        <f t="shared" si="2"/>
        <v>0</v>
      </c>
      <c r="V20" s="97">
        <f t="shared" si="3"/>
        <v>0</v>
      </c>
      <c r="W20" s="97">
        <f t="shared" si="4"/>
        <v>0</v>
      </c>
      <c r="X20" s="97">
        <f t="shared" si="5"/>
        <v>0</v>
      </c>
      <c r="Y20" s="209"/>
      <c r="Z20" s="210"/>
      <c r="AA20" s="210"/>
      <c r="AB20" s="128">
        <f>IF(AND(D20="Jour férié semaine",((G20-F20)+(I20-H20)+(K20-J20)=0)),VLOOKUP(D20,Systeemgegevens!$J:$K,2,FALSE),0)</f>
        <v>0</v>
      </c>
      <c r="AC20" s="43">
        <f>IF(AND(NOT(ISERROR(FIND("Congé",D20))),ISERROR(FIND("1/2",D20)),ISERROR(FIND("Synd",D20)),ISERROR(FIND("synd",D20)),(G20-F20+I20-H20+K20-J20)=0),VLOOKUP(D20,Systeemgegevens!$J:$K,2,FALSE),IF(AND(NOT(ISERROR(FIND("1/2 Congé + ",D20))),(G20-F20+I20-H20+K20-J20)=0),VLOOKUP(D20,Systeemgegevens!$J:$K,2,FALSE)/2,IF(AND(NOT(ISERROR(FIND("1/2 Congé",D20))),ISERROR(FIND(" + ",D20)),ISERROR(FIND("1/2 Congé Synd.",D20))),VLOOKUP(D20,Systeemgegevens!$J:$K,2,FALSE),0)))</f>
        <v>0</v>
      </c>
      <c r="AD20" s="43">
        <f>IF(AND(OR(D20="1/2 Congé Synd.",D20="Congé Synd."),((G20-F20)+(I20-H20)+(K20-J20)=0)),VLOOKUP(D20,Systeemgegevens!$J:$K,2,FALSE),IF(AND(D20="1/2 Congé + 1/2 synd.",((G20-F20)+(I20-H20)+(K20-J20)=0)),AC20,0))</f>
        <v>0</v>
      </c>
      <c r="AE20" s="43">
        <f>IF(AND(D20="Jour de pont",((G20-F20)+(I20-H20)+(K20-J20)=0)),VLOOKUP(D20,Systeemgegevens!$J:$K,2,FALSE),0)</f>
        <v>0</v>
      </c>
      <c r="AF20" s="43">
        <f>IF(AND(D20="Jour libre 4/5",AND((G20-F20)+(I20-H20)+(K20-J20)=0)),VLOOKUP(D20,Systeemgegevens!$J:$K,2,FALSE),0)</f>
        <v>0</v>
      </c>
      <c r="AG20" s="118">
        <f>IF(AND(D20&lt;&gt;"",SUM(AB20:AF20)=0,D20&lt;&gt;$AB$4,D20&lt;&gt;$AC$4,D20&lt;&gt;$AE$4,D20&lt;&gt;$AF$4),VLOOKUP(D20,Systeemgegevens!$J:$K,2,FALSE),0)</f>
        <v>0</v>
      </c>
      <c r="AH20" s="119">
        <f t="shared" si="6"/>
        <v>0</v>
      </c>
      <c r="AI20" s="101">
        <f t="shared" si="7"/>
        <v>0</v>
      </c>
      <c r="AJ20" s="118">
        <f t="shared" si="19"/>
        <v>0</v>
      </c>
      <c r="AK20" s="119">
        <f t="shared" si="8"/>
        <v>0</v>
      </c>
      <c r="AL20" s="101">
        <f t="shared" si="9"/>
        <v>0</v>
      </c>
      <c r="AM20" s="43">
        <f t="shared" si="20"/>
        <v>0</v>
      </c>
      <c r="AN20" s="118">
        <f t="shared" si="21"/>
        <v>0</v>
      </c>
      <c r="AO20" s="122">
        <f t="shared" si="10"/>
        <v>0</v>
      </c>
      <c r="AP20" s="107">
        <f t="shared" si="11"/>
        <v>0</v>
      </c>
      <c r="AQ20" s="107">
        <f t="shared" si="12"/>
        <v>0</v>
      </c>
      <c r="AR20" s="123">
        <f t="shared" si="13"/>
        <v>0</v>
      </c>
      <c r="AS20" s="124">
        <f t="shared" si="14"/>
        <v>0</v>
      </c>
      <c r="AT20" s="124">
        <f t="shared" si="15"/>
        <v>0</v>
      </c>
      <c r="AU20" s="124">
        <f t="shared" si="16"/>
        <v>0</v>
      </c>
      <c r="AV20" s="117" t="s">
        <v>25</v>
      </c>
      <c r="AW20" s="129">
        <f>IF(($R$40=AV20)*AND($R$41&lt;&gt;""),VLOOKUP($R$41,'Barèmes police'!$AL$4:$AM$30,2),0)</f>
        <v>0</v>
      </c>
      <c r="AX20" s="16" t="str">
        <f>IF('Types de jours'!F26&lt;&gt;"",'Types de jours'!F26,"")</f>
        <v/>
      </c>
      <c r="AY20" s="144" t="str">
        <f>IF(AX20&lt;&gt;"",'Types de jours'!I26,"")</f>
        <v/>
      </c>
      <c r="AZ20" s="269"/>
      <c r="BA20" s="154"/>
      <c r="BB20" s="154"/>
      <c r="BC20" s="154"/>
      <c r="BD20" s="154"/>
      <c r="BE20" s="154"/>
      <c r="BF20" s="154"/>
    </row>
    <row r="21" spans="1:58" ht="12.75" customHeight="1" x14ac:dyDescent="0.2">
      <c r="A21" s="34"/>
      <c r="B21" s="24" t="str">
        <f t="shared" si="0"/>
        <v>Ve</v>
      </c>
      <c r="C21" s="25">
        <f t="shared" si="22"/>
        <v>45457</v>
      </c>
      <c r="D21" s="51"/>
      <c r="E21" s="116"/>
      <c r="F21" s="52"/>
      <c r="G21" s="53"/>
      <c r="H21" s="52"/>
      <c r="I21" s="53"/>
      <c r="J21" s="54"/>
      <c r="K21" s="55"/>
      <c r="L21" s="40">
        <f t="shared" si="1"/>
        <v>0</v>
      </c>
      <c r="M21" s="41">
        <f t="shared" si="23"/>
        <v>1.2666666666666666</v>
      </c>
      <c r="N21" s="42">
        <f>IF(AND(D21&lt;&gt;"Jour libre 4/5",B21&lt;&gt;"Sa",B21&lt;&gt;"Di"),SUM(N20,Configuration!$H$41),SUM(N20))</f>
        <v>10.449999999999994</v>
      </c>
      <c r="O21" s="49" t="str">
        <f t="shared" si="24"/>
        <v>-</v>
      </c>
      <c r="P21" s="143">
        <f t="shared" si="17"/>
        <v>9.1833333333333265</v>
      </c>
      <c r="Q21" s="167">
        <f t="shared" si="18"/>
        <v>0</v>
      </c>
      <c r="R21" s="168">
        <f t="shared" si="18"/>
        <v>0</v>
      </c>
      <c r="S21" s="168">
        <f t="shared" si="18"/>
        <v>0</v>
      </c>
      <c r="T21" s="169">
        <f t="shared" si="18"/>
        <v>0</v>
      </c>
      <c r="U21" s="97">
        <f t="shared" si="2"/>
        <v>0</v>
      </c>
      <c r="V21" s="97">
        <f t="shared" si="3"/>
        <v>0</v>
      </c>
      <c r="W21" s="97">
        <f t="shared" si="4"/>
        <v>0</v>
      </c>
      <c r="X21" s="97">
        <f t="shared" si="5"/>
        <v>0</v>
      </c>
      <c r="Y21" s="209"/>
      <c r="Z21" s="210"/>
      <c r="AA21" s="210"/>
      <c r="AB21" s="128">
        <f>IF(AND(D21="Jour férié semaine",((G21-F21)+(I21-H21)+(K21-J21)=0)),VLOOKUP(D21,Systeemgegevens!$J:$K,2,FALSE),0)</f>
        <v>0</v>
      </c>
      <c r="AC21" s="43">
        <f>IF(AND(NOT(ISERROR(FIND("Congé",D21))),ISERROR(FIND("1/2",D21)),ISERROR(FIND("Synd",D21)),ISERROR(FIND("synd",D21)),(G21-F21+I21-H21+K21-J21)=0),VLOOKUP(D21,Systeemgegevens!$J:$K,2,FALSE),IF(AND(NOT(ISERROR(FIND("1/2 Congé + ",D21))),(G21-F21+I21-H21+K21-J21)=0),VLOOKUP(D21,Systeemgegevens!$J:$K,2,FALSE)/2,IF(AND(NOT(ISERROR(FIND("1/2 Congé",D21))),ISERROR(FIND(" + ",D21)),ISERROR(FIND("1/2 Congé Synd.",D21))),VLOOKUP(D21,Systeemgegevens!$J:$K,2,FALSE),0)))</f>
        <v>0</v>
      </c>
      <c r="AD21" s="43">
        <f>IF(AND(OR(D21="1/2 Congé Synd.",D21="Congé Synd."),((G21-F21)+(I21-H21)+(K21-J21)=0)),VLOOKUP(D21,Systeemgegevens!$J:$K,2,FALSE),IF(AND(D21="1/2 Congé + 1/2 synd.",((G21-F21)+(I21-H21)+(K21-J21)=0)),AC21,0))</f>
        <v>0</v>
      </c>
      <c r="AE21" s="43">
        <f>IF(AND(D21="Jour de pont",((G21-F21)+(I21-H21)+(K21-J21)=0)),VLOOKUP(D21,Systeemgegevens!$J:$K,2,FALSE),0)</f>
        <v>0</v>
      </c>
      <c r="AF21" s="43">
        <f>IF(AND(D21="Jour libre 4/5",AND((G21-F21)+(I21-H21)+(K21-J21)=0)),VLOOKUP(D21,Systeemgegevens!$J:$K,2,FALSE),0)</f>
        <v>0</v>
      </c>
      <c r="AG21" s="118">
        <f>IF(AND(D21&lt;&gt;"",SUM(AB21:AF21)=0,D21&lt;&gt;$AB$4,D21&lt;&gt;$AC$4,D21&lt;&gt;$AE$4,D21&lt;&gt;$AF$4),VLOOKUP(D21,Systeemgegevens!$J:$K,2,FALSE),0)</f>
        <v>0</v>
      </c>
      <c r="AH21" s="119">
        <f t="shared" si="6"/>
        <v>0</v>
      </c>
      <c r="AI21" s="101">
        <f t="shared" si="7"/>
        <v>0</v>
      </c>
      <c r="AJ21" s="118">
        <f t="shared" si="19"/>
        <v>0</v>
      </c>
      <c r="AK21" s="119">
        <f t="shared" si="8"/>
        <v>0</v>
      </c>
      <c r="AL21" s="101">
        <f t="shared" si="9"/>
        <v>0</v>
      </c>
      <c r="AM21" s="43">
        <f t="shared" si="20"/>
        <v>0</v>
      </c>
      <c r="AN21" s="118">
        <f t="shared" si="21"/>
        <v>0</v>
      </c>
      <c r="AO21" s="122">
        <f t="shared" si="10"/>
        <v>0</v>
      </c>
      <c r="AP21" s="107">
        <f t="shared" si="11"/>
        <v>0</v>
      </c>
      <c r="AQ21" s="107">
        <f t="shared" si="12"/>
        <v>0</v>
      </c>
      <c r="AR21" s="123">
        <f t="shared" si="13"/>
        <v>0</v>
      </c>
      <c r="AS21" s="124">
        <f t="shared" si="14"/>
        <v>0</v>
      </c>
      <c r="AT21" s="124">
        <f t="shared" si="15"/>
        <v>0</v>
      </c>
      <c r="AU21" s="124">
        <f t="shared" si="16"/>
        <v>0</v>
      </c>
      <c r="AV21" s="117" t="s">
        <v>24</v>
      </c>
      <c r="AW21" s="129">
        <f>IF(($R$40=AV21)*AND($R$41&lt;&gt;""),VLOOKUP($R$41,'Barèmes police'!$AO$4:$AP$30,2),0)</f>
        <v>0</v>
      </c>
      <c r="AX21" s="16" t="str">
        <f>IF('Types de jours'!F27&lt;&gt;"",'Types de jours'!F27,"")</f>
        <v/>
      </c>
      <c r="AY21" s="144" t="str">
        <f>IF(AX21&lt;&gt;"",'Types de jours'!I27,"")</f>
        <v/>
      </c>
      <c r="AZ21" s="269"/>
      <c r="BA21" s="154"/>
      <c r="BB21" s="154"/>
      <c r="BC21" s="154"/>
      <c r="BD21" s="154"/>
      <c r="BE21" s="154"/>
      <c r="BF21" s="154"/>
    </row>
    <row r="22" spans="1:58" ht="12.75" customHeight="1" x14ac:dyDescent="0.2">
      <c r="A22" s="34"/>
      <c r="B22" s="24" t="str">
        <f t="shared" si="0"/>
        <v>Sa</v>
      </c>
      <c r="C22" s="25">
        <f t="shared" si="22"/>
        <v>45458</v>
      </c>
      <c r="D22" s="51"/>
      <c r="E22" s="116"/>
      <c r="F22" s="52"/>
      <c r="G22" s="53"/>
      <c r="H22" s="52"/>
      <c r="I22" s="53"/>
      <c r="J22" s="54"/>
      <c r="K22" s="55"/>
      <c r="L22" s="40">
        <f t="shared" si="1"/>
        <v>0</v>
      </c>
      <c r="M22" s="41">
        <f t="shared" si="23"/>
        <v>1.2666666666666666</v>
      </c>
      <c r="N22" s="42">
        <f>IF(AND(D22&lt;&gt;"Jour libre 4/5",B22&lt;&gt;"Sa",B22&lt;&gt;"Di"),SUM(N21,Configuration!$H$41),SUM(N21))</f>
        <v>10.449999999999994</v>
      </c>
      <c r="O22" s="49" t="str">
        <f t="shared" si="24"/>
        <v>-</v>
      </c>
      <c r="P22" s="143">
        <f t="shared" si="17"/>
        <v>9.1833333333333265</v>
      </c>
      <c r="Q22" s="167">
        <f t="shared" si="18"/>
        <v>0</v>
      </c>
      <c r="R22" s="168">
        <f t="shared" si="18"/>
        <v>0</v>
      </c>
      <c r="S22" s="168">
        <f t="shared" si="18"/>
        <v>0</v>
      </c>
      <c r="T22" s="169">
        <f t="shared" si="18"/>
        <v>0</v>
      </c>
      <c r="U22" s="97">
        <f t="shared" si="2"/>
        <v>0</v>
      </c>
      <c r="V22" s="97">
        <f t="shared" si="3"/>
        <v>0</v>
      </c>
      <c r="W22" s="97">
        <f t="shared" si="4"/>
        <v>0</v>
      </c>
      <c r="X22" s="97">
        <f t="shared" si="5"/>
        <v>0</v>
      </c>
      <c r="Y22" s="209"/>
      <c r="Z22" s="210"/>
      <c r="AA22" s="210"/>
      <c r="AB22" s="128">
        <f>IF(AND(D22="Jour férié semaine",((G22-F22)+(I22-H22)+(K22-J22)=0)),VLOOKUP(D22,Systeemgegevens!$J:$K,2,FALSE),0)</f>
        <v>0</v>
      </c>
      <c r="AC22" s="43">
        <f>IF(AND(NOT(ISERROR(FIND("Congé",D22))),ISERROR(FIND("1/2",D22)),ISERROR(FIND("Synd",D22)),ISERROR(FIND("synd",D22)),(G22-F22+I22-H22+K22-J22)=0),VLOOKUP(D22,Systeemgegevens!$J:$K,2,FALSE),IF(AND(NOT(ISERROR(FIND("1/2 Congé + ",D22))),(G22-F22+I22-H22+K22-J22)=0),VLOOKUP(D22,Systeemgegevens!$J:$K,2,FALSE)/2,IF(AND(NOT(ISERROR(FIND("1/2 Congé",D22))),ISERROR(FIND(" + ",D22)),ISERROR(FIND("1/2 Congé Synd.",D22))),VLOOKUP(D22,Systeemgegevens!$J:$K,2,FALSE),0)))</f>
        <v>0</v>
      </c>
      <c r="AD22" s="43">
        <f>IF(AND(OR(D22="1/2 Congé Synd.",D22="Congé Synd."),((G22-F22)+(I22-H22)+(K22-J22)=0)),VLOOKUP(D22,Systeemgegevens!$J:$K,2,FALSE),IF(AND(D22="1/2 Congé + 1/2 synd.",((G22-F22)+(I22-H22)+(K22-J22)=0)),AC22,0))</f>
        <v>0</v>
      </c>
      <c r="AE22" s="43">
        <f>IF(AND(D22="Jour de pont",((G22-F22)+(I22-H22)+(K22-J22)=0)),VLOOKUP(D22,Systeemgegevens!$J:$K,2,FALSE),0)</f>
        <v>0</v>
      </c>
      <c r="AF22" s="43">
        <f>IF(AND(D22="Jour libre 4/5",AND((G22-F22)+(I22-H22)+(K22-J22)=0)),VLOOKUP(D22,Systeemgegevens!$J:$K,2,FALSE),0)</f>
        <v>0</v>
      </c>
      <c r="AG22" s="118">
        <f>IF(AND(D22&lt;&gt;"",SUM(AB22:AF22)=0,D22&lt;&gt;$AB$4,D22&lt;&gt;$AC$4,D22&lt;&gt;$AE$4,D22&lt;&gt;$AF$4),VLOOKUP(D22,Systeemgegevens!$J:$K,2,FALSE),0)</f>
        <v>0</v>
      </c>
      <c r="AH22" s="119">
        <f t="shared" si="6"/>
        <v>0</v>
      </c>
      <c r="AI22" s="101">
        <f t="shared" si="7"/>
        <v>0</v>
      </c>
      <c r="AJ22" s="118">
        <f t="shared" si="19"/>
        <v>0</v>
      </c>
      <c r="AK22" s="119">
        <f t="shared" si="8"/>
        <v>0</v>
      </c>
      <c r="AL22" s="101">
        <f t="shared" si="9"/>
        <v>0</v>
      </c>
      <c r="AM22" s="43">
        <f t="shared" si="20"/>
        <v>0</v>
      </c>
      <c r="AN22" s="118">
        <f t="shared" si="21"/>
        <v>0</v>
      </c>
      <c r="AO22" s="122">
        <f t="shared" si="10"/>
        <v>0</v>
      </c>
      <c r="AP22" s="107">
        <f t="shared" si="11"/>
        <v>0</v>
      </c>
      <c r="AQ22" s="107">
        <f t="shared" si="12"/>
        <v>0</v>
      </c>
      <c r="AR22" s="123">
        <f t="shared" si="13"/>
        <v>0</v>
      </c>
      <c r="AS22" s="124">
        <f t="shared" si="14"/>
        <v>0</v>
      </c>
      <c r="AT22" s="124">
        <f t="shared" si="15"/>
        <v>0</v>
      </c>
      <c r="AU22" s="124">
        <f t="shared" si="16"/>
        <v>0</v>
      </c>
      <c r="AV22" s="117" t="s">
        <v>23</v>
      </c>
      <c r="AW22" s="129">
        <f>IF(($R$40=AV22)*AND($R$41&lt;&gt;""),VLOOKUP($R$41,'Barèmes police'!$AR$4:$AS$30,2),0)</f>
        <v>0</v>
      </c>
      <c r="AX22" s="16" t="str">
        <f>IF('Types de jours'!F28&lt;&gt;"",'Types de jours'!F28,"")</f>
        <v/>
      </c>
      <c r="AY22" s="144" t="str">
        <f>IF(AX22&lt;&gt;"",'Types de jours'!I28,"")</f>
        <v/>
      </c>
      <c r="AZ22" s="269"/>
      <c r="BA22" s="154"/>
      <c r="BB22" s="154"/>
      <c r="BC22" s="154"/>
      <c r="BD22" s="154"/>
      <c r="BE22" s="154"/>
      <c r="BF22" s="154"/>
    </row>
    <row r="23" spans="1:58" ht="12.75" customHeight="1" x14ac:dyDescent="0.2">
      <c r="A23" s="34"/>
      <c r="B23" s="24" t="str">
        <f t="shared" si="0"/>
        <v>Di</v>
      </c>
      <c r="C23" s="25">
        <f t="shared" si="22"/>
        <v>45459</v>
      </c>
      <c r="D23" s="51"/>
      <c r="E23" s="116"/>
      <c r="F23" s="52"/>
      <c r="G23" s="53"/>
      <c r="H23" s="52"/>
      <c r="I23" s="53"/>
      <c r="J23" s="54"/>
      <c r="K23" s="55"/>
      <c r="L23" s="40">
        <f t="shared" si="1"/>
        <v>0</v>
      </c>
      <c r="M23" s="41">
        <f t="shared" si="23"/>
        <v>1.2666666666666666</v>
      </c>
      <c r="N23" s="42">
        <f>IF(AND(D23&lt;&gt;"Jour libre 4/5",B23&lt;&gt;"Sa",B23&lt;&gt;"Di"),SUM(N22,Configuration!$H$41),SUM(N22))</f>
        <v>10.449999999999994</v>
      </c>
      <c r="O23" s="49" t="str">
        <f t="shared" si="24"/>
        <v>-</v>
      </c>
      <c r="P23" s="143">
        <f t="shared" si="17"/>
        <v>9.1833333333333265</v>
      </c>
      <c r="Q23" s="167">
        <f t="shared" si="18"/>
        <v>0</v>
      </c>
      <c r="R23" s="168">
        <f t="shared" si="18"/>
        <v>0</v>
      </c>
      <c r="S23" s="168">
        <f t="shared" si="18"/>
        <v>0</v>
      </c>
      <c r="T23" s="169">
        <f t="shared" si="18"/>
        <v>0</v>
      </c>
      <c r="U23" s="97">
        <f t="shared" si="2"/>
        <v>0</v>
      </c>
      <c r="V23" s="97">
        <f t="shared" si="3"/>
        <v>0</v>
      </c>
      <c r="W23" s="97">
        <f t="shared" si="4"/>
        <v>0</v>
      </c>
      <c r="X23" s="97">
        <f t="shared" si="5"/>
        <v>0</v>
      </c>
      <c r="Y23" s="209"/>
      <c r="Z23" s="210"/>
      <c r="AA23" s="210"/>
      <c r="AB23" s="128">
        <f>IF(AND(D23="Jour férié semaine",((G23-F23)+(I23-H23)+(K23-J23)=0)),VLOOKUP(D23,Systeemgegevens!$J:$K,2,FALSE),0)</f>
        <v>0</v>
      </c>
      <c r="AC23" s="43">
        <f>IF(AND(NOT(ISERROR(FIND("Congé",D23))),ISERROR(FIND("1/2",D23)),ISERROR(FIND("Synd",D23)),ISERROR(FIND("synd",D23)),(G23-F23+I23-H23+K23-J23)=0),VLOOKUP(D23,Systeemgegevens!$J:$K,2,FALSE),IF(AND(NOT(ISERROR(FIND("1/2 Congé + ",D23))),(G23-F23+I23-H23+K23-J23)=0),VLOOKUP(D23,Systeemgegevens!$J:$K,2,FALSE)/2,IF(AND(NOT(ISERROR(FIND("1/2 Congé",D23))),ISERROR(FIND(" + ",D23)),ISERROR(FIND("1/2 Congé Synd.",D23))),VLOOKUP(D23,Systeemgegevens!$J:$K,2,FALSE),0)))</f>
        <v>0</v>
      </c>
      <c r="AD23" s="43">
        <f>IF(AND(OR(D23="1/2 Congé Synd.",D23="Congé Synd."),((G23-F23)+(I23-H23)+(K23-J23)=0)),VLOOKUP(D23,Systeemgegevens!$J:$K,2,FALSE),IF(AND(D23="1/2 Congé + 1/2 synd.",((G23-F23)+(I23-H23)+(K23-J23)=0)),AC23,0))</f>
        <v>0</v>
      </c>
      <c r="AE23" s="43">
        <f>IF(AND(D23="Jour de pont",((G23-F23)+(I23-H23)+(K23-J23)=0)),VLOOKUP(D23,Systeemgegevens!$J:$K,2,FALSE),0)</f>
        <v>0</v>
      </c>
      <c r="AF23" s="43">
        <f>IF(AND(D23="Jour libre 4/5",AND((G23-F23)+(I23-H23)+(K23-J23)=0)),VLOOKUP(D23,Systeemgegevens!$J:$K,2,FALSE),0)</f>
        <v>0</v>
      </c>
      <c r="AG23" s="118">
        <f>IF(AND(D23&lt;&gt;"",SUM(AB23:AF23)=0,D23&lt;&gt;$AB$4,D23&lt;&gt;$AC$4,D23&lt;&gt;$AE$4,D23&lt;&gt;$AF$4),VLOOKUP(D23,Systeemgegevens!$J:$K,2,FALSE),0)</f>
        <v>0</v>
      </c>
      <c r="AH23" s="119">
        <f t="shared" si="6"/>
        <v>0</v>
      </c>
      <c r="AI23" s="101">
        <f t="shared" si="7"/>
        <v>0</v>
      </c>
      <c r="AJ23" s="118">
        <f t="shared" si="19"/>
        <v>0</v>
      </c>
      <c r="AK23" s="119">
        <f t="shared" si="8"/>
        <v>0</v>
      </c>
      <c r="AL23" s="101">
        <f t="shared" si="9"/>
        <v>0</v>
      </c>
      <c r="AM23" s="43">
        <f t="shared" si="20"/>
        <v>0</v>
      </c>
      <c r="AN23" s="118">
        <f t="shared" si="21"/>
        <v>0</v>
      </c>
      <c r="AO23" s="122">
        <f t="shared" si="10"/>
        <v>0</v>
      </c>
      <c r="AP23" s="107">
        <f t="shared" si="11"/>
        <v>0</v>
      </c>
      <c r="AQ23" s="107">
        <f t="shared" si="12"/>
        <v>0</v>
      </c>
      <c r="AR23" s="123">
        <f t="shared" si="13"/>
        <v>0</v>
      </c>
      <c r="AS23" s="124">
        <f t="shared" si="14"/>
        <v>0</v>
      </c>
      <c r="AT23" s="124">
        <f t="shared" si="15"/>
        <v>0</v>
      </c>
      <c r="AU23" s="124">
        <f t="shared" si="16"/>
        <v>0</v>
      </c>
      <c r="AV23" s="117" t="s">
        <v>22</v>
      </c>
      <c r="AW23" s="129">
        <f>IF(($R$40=AV23)*AND($R$41&lt;&gt;""),VLOOKUP($R$41,'Barèmes police'!$AU$4:$AV$34,2),0)</f>
        <v>0</v>
      </c>
      <c r="AX23" s="16" t="str">
        <f>IF('Types de jours'!F29&lt;&gt;"",'Types de jours'!F29,"")</f>
        <v/>
      </c>
      <c r="AY23" s="144" t="str">
        <f>IF(AX23&lt;&gt;"",'Types de jours'!I29,"")</f>
        <v/>
      </c>
      <c r="AZ23" s="269"/>
      <c r="BA23" s="154"/>
      <c r="BB23" s="154"/>
      <c r="BC23" s="154"/>
      <c r="BD23" s="154"/>
      <c r="BE23" s="154"/>
      <c r="BF23" s="154"/>
    </row>
    <row r="24" spans="1:58" ht="12.75" customHeight="1" x14ac:dyDescent="0.2">
      <c r="A24" s="34"/>
      <c r="B24" s="24" t="str">
        <f t="shared" si="0"/>
        <v>Lu</v>
      </c>
      <c r="C24" s="25">
        <f t="shared" si="22"/>
        <v>45460</v>
      </c>
      <c r="D24" s="51"/>
      <c r="E24" s="116"/>
      <c r="F24" s="52"/>
      <c r="G24" s="53"/>
      <c r="H24" s="52"/>
      <c r="I24" s="53"/>
      <c r="J24" s="54"/>
      <c r="K24" s="55"/>
      <c r="L24" s="40">
        <f t="shared" si="1"/>
        <v>0</v>
      </c>
      <c r="M24" s="41">
        <f t="shared" si="23"/>
        <v>1.2666666666666666</v>
      </c>
      <c r="N24" s="42">
        <f>IF(AND(D24&lt;&gt;"Jour libre 4/5",B24&lt;&gt;"Sa",B24&lt;&gt;"Di"),SUM(N23,Configuration!$H$41),SUM(N23))</f>
        <v>10.76666666666666</v>
      </c>
      <c r="O24" s="49" t="str">
        <f t="shared" si="24"/>
        <v>-</v>
      </c>
      <c r="P24" s="143">
        <f t="shared" si="17"/>
        <v>9.4999999999999929</v>
      </c>
      <c r="Q24" s="167">
        <f t="shared" si="18"/>
        <v>0</v>
      </c>
      <c r="R24" s="168">
        <f t="shared" si="18"/>
        <v>0</v>
      </c>
      <c r="S24" s="168">
        <f t="shared" si="18"/>
        <v>0</v>
      </c>
      <c r="T24" s="169">
        <f t="shared" si="18"/>
        <v>0</v>
      </c>
      <c r="U24" s="97">
        <f t="shared" si="2"/>
        <v>0</v>
      </c>
      <c r="V24" s="97">
        <f t="shared" si="3"/>
        <v>0</v>
      </c>
      <c r="W24" s="97">
        <f t="shared" si="4"/>
        <v>0</v>
      </c>
      <c r="X24" s="97">
        <f t="shared" si="5"/>
        <v>0</v>
      </c>
      <c r="Y24" s="209"/>
      <c r="Z24" s="210"/>
      <c r="AA24" s="210"/>
      <c r="AB24" s="128">
        <f>IF(AND(D24="Jour férié semaine",((G24-F24)+(I24-H24)+(K24-J24)=0)),VLOOKUP(D24,Systeemgegevens!$J:$K,2,FALSE),0)</f>
        <v>0</v>
      </c>
      <c r="AC24" s="43">
        <f>IF(AND(NOT(ISERROR(FIND("Congé",D24))),ISERROR(FIND("1/2",D24)),ISERROR(FIND("Synd",D24)),ISERROR(FIND("synd",D24)),(G24-F24+I24-H24+K24-J24)=0),VLOOKUP(D24,Systeemgegevens!$J:$K,2,FALSE),IF(AND(NOT(ISERROR(FIND("1/2 Congé + ",D24))),(G24-F24+I24-H24+K24-J24)=0),VLOOKUP(D24,Systeemgegevens!$J:$K,2,FALSE)/2,IF(AND(NOT(ISERROR(FIND("1/2 Congé",D24))),ISERROR(FIND(" + ",D24)),ISERROR(FIND("1/2 Congé Synd.",D24))),VLOOKUP(D24,Systeemgegevens!$J:$K,2,FALSE),0)))</f>
        <v>0</v>
      </c>
      <c r="AD24" s="43">
        <f>IF(AND(OR(D24="1/2 Congé Synd.",D24="Congé Synd."),((G24-F24)+(I24-H24)+(K24-J24)=0)),VLOOKUP(D24,Systeemgegevens!$J:$K,2,FALSE),IF(AND(D24="1/2 Congé + 1/2 synd.",((G24-F24)+(I24-H24)+(K24-J24)=0)),AC24,0))</f>
        <v>0</v>
      </c>
      <c r="AE24" s="43">
        <f>IF(AND(D24="Jour de pont",((G24-F24)+(I24-H24)+(K24-J24)=0)),VLOOKUP(D24,Systeemgegevens!$J:$K,2,FALSE),0)</f>
        <v>0</v>
      </c>
      <c r="AF24" s="43">
        <f>IF(AND(D24="Jour libre 4/5",AND((G24-F24)+(I24-H24)+(K24-J24)=0)),VLOOKUP(D24,Systeemgegevens!$J:$K,2,FALSE),0)</f>
        <v>0</v>
      </c>
      <c r="AG24" s="118">
        <f>IF(AND(D24&lt;&gt;"",SUM(AB24:AF24)=0,D24&lt;&gt;$AB$4,D24&lt;&gt;$AC$4,D24&lt;&gt;$AE$4,D24&lt;&gt;$AF$4),VLOOKUP(D24,Systeemgegevens!$J:$K,2,FALSE),0)</f>
        <v>0</v>
      </c>
      <c r="AH24" s="119">
        <f t="shared" si="6"/>
        <v>0</v>
      </c>
      <c r="AI24" s="101">
        <f t="shared" si="7"/>
        <v>0</v>
      </c>
      <c r="AJ24" s="118">
        <f t="shared" si="19"/>
        <v>0</v>
      </c>
      <c r="AK24" s="119">
        <f t="shared" si="8"/>
        <v>0</v>
      </c>
      <c r="AL24" s="101">
        <f t="shared" si="9"/>
        <v>0</v>
      </c>
      <c r="AM24" s="43">
        <f t="shared" si="20"/>
        <v>0</v>
      </c>
      <c r="AN24" s="118">
        <f t="shared" si="21"/>
        <v>0</v>
      </c>
      <c r="AO24" s="122">
        <f t="shared" si="10"/>
        <v>0</v>
      </c>
      <c r="AP24" s="107">
        <f t="shared" si="11"/>
        <v>0</v>
      </c>
      <c r="AQ24" s="107">
        <f t="shared" si="12"/>
        <v>0</v>
      </c>
      <c r="AR24" s="123">
        <f t="shared" si="13"/>
        <v>0</v>
      </c>
      <c r="AS24" s="124">
        <f t="shared" si="14"/>
        <v>0</v>
      </c>
      <c r="AT24" s="124">
        <f t="shared" si="15"/>
        <v>0</v>
      </c>
      <c r="AU24" s="124">
        <f t="shared" si="16"/>
        <v>0</v>
      </c>
      <c r="AV24" s="117" t="s">
        <v>21</v>
      </c>
      <c r="AW24" s="129">
        <f>IF(($R$40=AV24)*AND($R$41&lt;&gt;""),VLOOKUP($R$41,'Barèmes police'!$AX$4:$AY$30,2),0)</f>
        <v>0</v>
      </c>
      <c r="AX24" s="16" t="str">
        <f>IF('Types de jours'!F30&lt;&gt;"",'Types de jours'!F30,"")</f>
        <v/>
      </c>
      <c r="AY24" s="144" t="str">
        <f>IF(AX24&lt;&gt;"",'Types de jours'!I30,"")</f>
        <v/>
      </c>
      <c r="AZ24" s="269"/>
      <c r="BA24" s="154"/>
      <c r="BB24" s="154"/>
      <c r="BC24" s="154"/>
      <c r="BD24" s="154"/>
      <c r="BE24" s="154"/>
      <c r="BF24" s="154"/>
    </row>
    <row r="25" spans="1:58" ht="12.75" customHeight="1" x14ac:dyDescent="0.2">
      <c r="A25" s="34"/>
      <c r="B25" s="24" t="str">
        <f t="shared" si="0"/>
        <v>Ma</v>
      </c>
      <c r="C25" s="25">
        <f t="shared" si="22"/>
        <v>45461</v>
      </c>
      <c r="D25" s="51"/>
      <c r="E25" s="116"/>
      <c r="F25" s="52"/>
      <c r="G25" s="53"/>
      <c r="H25" s="52"/>
      <c r="I25" s="53"/>
      <c r="J25" s="54"/>
      <c r="K25" s="55"/>
      <c r="L25" s="40">
        <f t="shared" si="1"/>
        <v>0</v>
      </c>
      <c r="M25" s="41">
        <f t="shared" si="23"/>
        <v>1.2666666666666666</v>
      </c>
      <c r="N25" s="42">
        <f>IF(AND(D25&lt;&gt;"Jour libre 4/5",B25&lt;&gt;"Sa",B25&lt;&gt;"Di"),SUM(N24,Configuration!$H$41),SUM(N24))</f>
        <v>11.083333333333327</v>
      </c>
      <c r="O25" s="49" t="str">
        <f t="shared" si="24"/>
        <v>-</v>
      </c>
      <c r="P25" s="143">
        <f t="shared" si="17"/>
        <v>9.8166666666666593</v>
      </c>
      <c r="Q25" s="167">
        <f t="shared" si="18"/>
        <v>0</v>
      </c>
      <c r="R25" s="168">
        <f t="shared" si="18"/>
        <v>0</v>
      </c>
      <c r="S25" s="168">
        <f t="shared" si="18"/>
        <v>0</v>
      </c>
      <c r="T25" s="169">
        <f t="shared" si="18"/>
        <v>0</v>
      </c>
      <c r="U25" s="97">
        <f t="shared" si="2"/>
        <v>0</v>
      </c>
      <c r="V25" s="97">
        <f t="shared" si="3"/>
        <v>0</v>
      </c>
      <c r="W25" s="97">
        <f t="shared" si="4"/>
        <v>0</v>
      </c>
      <c r="X25" s="97">
        <f t="shared" si="5"/>
        <v>0</v>
      </c>
      <c r="Y25" s="209"/>
      <c r="Z25" s="210"/>
      <c r="AA25" s="210"/>
      <c r="AB25" s="128">
        <f>IF(AND(D25="Jour férié semaine",((G25-F25)+(I25-H25)+(K25-J25)=0)),VLOOKUP(D25,Systeemgegevens!$J:$K,2,FALSE),0)</f>
        <v>0</v>
      </c>
      <c r="AC25" s="43">
        <f>IF(AND(NOT(ISERROR(FIND("Congé",D25))),ISERROR(FIND("1/2",D25)),ISERROR(FIND("Synd",D25)),ISERROR(FIND("synd",D25)),(G25-F25+I25-H25+K25-J25)=0),VLOOKUP(D25,Systeemgegevens!$J:$K,2,FALSE),IF(AND(NOT(ISERROR(FIND("1/2 Congé + ",D25))),(G25-F25+I25-H25+K25-J25)=0),VLOOKUP(D25,Systeemgegevens!$J:$K,2,FALSE)/2,IF(AND(NOT(ISERROR(FIND("1/2 Congé",D25))),ISERROR(FIND(" + ",D25)),ISERROR(FIND("1/2 Congé Synd.",D25))),VLOOKUP(D25,Systeemgegevens!$J:$K,2,FALSE),0)))</f>
        <v>0</v>
      </c>
      <c r="AD25" s="43">
        <f>IF(AND(OR(D25="1/2 Congé Synd.",D25="Congé Synd."),((G25-F25)+(I25-H25)+(K25-J25)=0)),VLOOKUP(D25,Systeemgegevens!$J:$K,2,FALSE),IF(AND(D25="1/2 Congé + 1/2 synd.",((G25-F25)+(I25-H25)+(K25-J25)=0)),AC25,0))</f>
        <v>0</v>
      </c>
      <c r="AE25" s="43">
        <f>IF(AND(D25="Jour de pont",((G25-F25)+(I25-H25)+(K25-J25)=0)),VLOOKUP(D25,Systeemgegevens!$J:$K,2,FALSE),0)</f>
        <v>0</v>
      </c>
      <c r="AF25" s="43">
        <f>IF(AND(D25="Jour libre 4/5",AND((G25-F25)+(I25-H25)+(K25-J25)=0)),VLOOKUP(D25,Systeemgegevens!$J:$K,2,FALSE),0)</f>
        <v>0</v>
      </c>
      <c r="AG25" s="118">
        <f>IF(AND(D25&lt;&gt;"",SUM(AB25:AF25)=0,D25&lt;&gt;$AB$4,D25&lt;&gt;$AC$4,D25&lt;&gt;$AE$4,D25&lt;&gt;$AF$4),VLOOKUP(D25,Systeemgegevens!$J:$K,2,FALSE),0)</f>
        <v>0</v>
      </c>
      <c r="AH25" s="119">
        <f t="shared" si="6"/>
        <v>0</v>
      </c>
      <c r="AI25" s="101">
        <f t="shared" si="7"/>
        <v>0</v>
      </c>
      <c r="AJ25" s="118">
        <f t="shared" si="19"/>
        <v>0</v>
      </c>
      <c r="AK25" s="119">
        <f t="shared" si="8"/>
        <v>0</v>
      </c>
      <c r="AL25" s="101">
        <f t="shared" si="9"/>
        <v>0</v>
      </c>
      <c r="AM25" s="43">
        <f t="shared" si="20"/>
        <v>0</v>
      </c>
      <c r="AN25" s="118">
        <f t="shared" si="21"/>
        <v>0</v>
      </c>
      <c r="AO25" s="122">
        <f t="shared" si="10"/>
        <v>0</v>
      </c>
      <c r="AP25" s="107">
        <f t="shared" si="11"/>
        <v>0</v>
      </c>
      <c r="AQ25" s="107">
        <f t="shared" si="12"/>
        <v>0</v>
      </c>
      <c r="AR25" s="123">
        <f t="shared" si="13"/>
        <v>0</v>
      </c>
      <c r="AS25" s="124">
        <f t="shared" si="14"/>
        <v>0</v>
      </c>
      <c r="AT25" s="124">
        <f t="shared" si="15"/>
        <v>0</v>
      </c>
      <c r="AU25" s="124">
        <f t="shared" si="16"/>
        <v>0</v>
      </c>
      <c r="AV25" s="117" t="s">
        <v>20</v>
      </c>
      <c r="AW25" s="129">
        <f>IF(($R$40=AV25)*AND($R$41&lt;&gt;""),VLOOKUP($R$41,'Barèmes police'!$BA$4:$BB$34,2),0)</f>
        <v>0</v>
      </c>
      <c r="AX25" s="16" t="str">
        <f>IF('Types de jours'!F31&lt;&gt;"",'Types de jours'!F31,"")</f>
        <v/>
      </c>
      <c r="AY25" s="144" t="str">
        <f>IF(AX25&lt;&gt;"",'Types de jours'!I31,"")</f>
        <v/>
      </c>
      <c r="AZ25" s="269"/>
      <c r="BA25" s="154"/>
      <c r="BB25" s="154"/>
      <c r="BC25" s="154"/>
      <c r="BD25" s="154"/>
      <c r="BE25" s="154"/>
      <c r="BF25" s="154"/>
    </row>
    <row r="26" spans="1:58" ht="12.75" customHeight="1" x14ac:dyDescent="0.2">
      <c r="A26" s="34"/>
      <c r="B26" s="24" t="str">
        <f t="shared" si="0"/>
        <v>Me</v>
      </c>
      <c r="C26" s="25">
        <f t="shared" si="22"/>
        <v>45462</v>
      </c>
      <c r="D26" s="51"/>
      <c r="E26" s="116"/>
      <c r="F26" s="52"/>
      <c r="G26" s="53"/>
      <c r="H26" s="54"/>
      <c r="I26" s="55"/>
      <c r="J26" s="54"/>
      <c r="K26" s="55"/>
      <c r="L26" s="40">
        <f t="shared" si="1"/>
        <v>0</v>
      </c>
      <c r="M26" s="41">
        <f t="shared" si="23"/>
        <v>1.2666666666666666</v>
      </c>
      <c r="N26" s="42">
        <f>IF(AND(D26&lt;&gt;"Jour libre 4/5",B26&lt;&gt;"Sa",B26&lt;&gt;"Di"),SUM(N25,Configuration!$H$41),SUM(N25))</f>
        <v>11.399999999999993</v>
      </c>
      <c r="O26" s="49" t="str">
        <f t="shared" si="24"/>
        <v>-</v>
      </c>
      <c r="P26" s="143">
        <f t="shared" si="17"/>
        <v>10.133333333333326</v>
      </c>
      <c r="Q26" s="167">
        <f t="shared" si="18"/>
        <v>0</v>
      </c>
      <c r="R26" s="168">
        <f t="shared" si="18"/>
        <v>0</v>
      </c>
      <c r="S26" s="168">
        <f t="shared" si="18"/>
        <v>0</v>
      </c>
      <c r="T26" s="169">
        <f t="shared" si="18"/>
        <v>0</v>
      </c>
      <c r="U26" s="97">
        <f t="shared" si="2"/>
        <v>0</v>
      </c>
      <c r="V26" s="97">
        <f t="shared" si="3"/>
        <v>0</v>
      </c>
      <c r="W26" s="97">
        <f t="shared" si="4"/>
        <v>0</v>
      </c>
      <c r="X26" s="97">
        <f t="shared" si="5"/>
        <v>0</v>
      </c>
      <c r="Y26" s="209"/>
      <c r="Z26" s="210"/>
      <c r="AA26" s="210"/>
      <c r="AB26" s="128">
        <f>IF(AND(D26="Jour férié semaine",((G26-F26)+(I26-H26)+(K26-J26)=0)),VLOOKUP(D26,Systeemgegevens!$J:$K,2,FALSE),0)</f>
        <v>0</v>
      </c>
      <c r="AC26" s="43">
        <f>IF(AND(NOT(ISERROR(FIND("Congé",D26))),ISERROR(FIND("1/2",D26)),ISERROR(FIND("Synd",D26)),ISERROR(FIND("synd",D26)),(G26-F26+I26-H26+K26-J26)=0),VLOOKUP(D26,Systeemgegevens!$J:$K,2,FALSE),IF(AND(NOT(ISERROR(FIND("1/2 Congé + ",D26))),(G26-F26+I26-H26+K26-J26)=0),VLOOKUP(D26,Systeemgegevens!$J:$K,2,FALSE)/2,IF(AND(NOT(ISERROR(FIND("1/2 Congé",D26))),ISERROR(FIND(" + ",D26)),ISERROR(FIND("1/2 Congé Synd.",D26))),VLOOKUP(D26,Systeemgegevens!$J:$K,2,FALSE),0)))</f>
        <v>0</v>
      </c>
      <c r="AD26" s="43">
        <f>IF(AND(OR(D26="1/2 Congé Synd.",D26="Congé Synd."),((G26-F26)+(I26-H26)+(K26-J26)=0)),VLOOKUP(D26,Systeemgegevens!$J:$K,2,FALSE),IF(AND(D26="1/2 Congé + 1/2 synd.",((G26-F26)+(I26-H26)+(K26-J26)=0)),AC26,0))</f>
        <v>0</v>
      </c>
      <c r="AE26" s="43">
        <f>IF(AND(D26="Jour de pont",((G26-F26)+(I26-H26)+(K26-J26)=0)),VLOOKUP(D26,Systeemgegevens!$J:$K,2,FALSE),0)</f>
        <v>0</v>
      </c>
      <c r="AF26" s="43">
        <f>IF(AND(D26="Jour libre 4/5",AND((G26-F26)+(I26-H26)+(K26-J26)=0)),VLOOKUP(D26,Systeemgegevens!$J:$K,2,FALSE),0)</f>
        <v>0</v>
      </c>
      <c r="AG26" s="118">
        <f>IF(AND(D26&lt;&gt;"",SUM(AB26:AF26)=0,D26&lt;&gt;$AB$4,D26&lt;&gt;$AC$4,D26&lt;&gt;$AE$4,D26&lt;&gt;$AF$4),VLOOKUP(D26,Systeemgegevens!$J:$K,2,FALSE),0)</f>
        <v>0</v>
      </c>
      <c r="AH26" s="119">
        <f t="shared" si="6"/>
        <v>0</v>
      </c>
      <c r="AI26" s="101">
        <f t="shared" si="7"/>
        <v>0</v>
      </c>
      <c r="AJ26" s="118">
        <f t="shared" si="19"/>
        <v>0</v>
      </c>
      <c r="AK26" s="119">
        <f t="shared" si="8"/>
        <v>0</v>
      </c>
      <c r="AL26" s="101">
        <f t="shared" si="9"/>
        <v>0</v>
      </c>
      <c r="AM26" s="43">
        <f t="shared" si="20"/>
        <v>0</v>
      </c>
      <c r="AN26" s="118">
        <f t="shared" si="21"/>
        <v>0</v>
      </c>
      <c r="AO26" s="122">
        <f t="shared" si="10"/>
        <v>0</v>
      </c>
      <c r="AP26" s="107">
        <f t="shared" si="11"/>
        <v>0</v>
      </c>
      <c r="AQ26" s="107">
        <f t="shared" si="12"/>
        <v>0</v>
      </c>
      <c r="AR26" s="123">
        <f t="shared" si="13"/>
        <v>0</v>
      </c>
      <c r="AS26" s="124">
        <f t="shared" si="14"/>
        <v>0</v>
      </c>
      <c r="AT26" s="124">
        <f t="shared" si="15"/>
        <v>0</v>
      </c>
      <c r="AU26" s="124">
        <f t="shared" si="16"/>
        <v>0</v>
      </c>
      <c r="AV26" s="117" t="s">
        <v>19</v>
      </c>
      <c r="AW26" s="129">
        <f>IF(($R$40=AV26)*AND($R$41&lt;&gt;""),VLOOKUP($R$41,'Barèmes police'!$BD$4:$BE$30,2),0)</f>
        <v>0</v>
      </c>
      <c r="AX26" s="16" t="str">
        <f>IF('Types de jours'!F32&lt;&gt;"",'Types de jours'!F32,"")</f>
        <v/>
      </c>
      <c r="AY26" s="144" t="str">
        <f>IF(AX26&lt;&gt;"",'Types de jours'!I32,"")</f>
        <v/>
      </c>
      <c r="AZ26" s="269"/>
      <c r="BA26" s="154"/>
      <c r="BB26" s="154"/>
      <c r="BC26" s="154"/>
      <c r="BD26" s="154"/>
      <c r="BE26" s="154"/>
      <c r="BF26" s="154"/>
    </row>
    <row r="27" spans="1:58" ht="12.75" customHeight="1" x14ac:dyDescent="0.2">
      <c r="A27" s="34"/>
      <c r="B27" s="24" t="str">
        <f t="shared" si="0"/>
        <v>Je</v>
      </c>
      <c r="C27" s="25">
        <f t="shared" si="22"/>
        <v>45463</v>
      </c>
      <c r="D27" s="51"/>
      <c r="E27" s="116"/>
      <c r="F27" s="52"/>
      <c r="G27" s="53"/>
      <c r="H27" s="54"/>
      <c r="I27" s="55"/>
      <c r="J27" s="54"/>
      <c r="K27" s="55"/>
      <c r="L27" s="40">
        <f t="shared" si="1"/>
        <v>0</v>
      </c>
      <c r="M27" s="41">
        <f t="shared" si="23"/>
        <v>1.2666666666666666</v>
      </c>
      <c r="N27" s="42">
        <f>IF(AND(D27&lt;&gt;"Jour libre 4/5",B27&lt;&gt;"Sa",B27&lt;&gt;"Di"),SUM(N26,Configuration!$H$41),SUM(N26))</f>
        <v>11.71666666666666</v>
      </c>
      <c r="O27" s="49" t="str">
        <f t="shared" si="24"/>
        <v>-</v>
      </c>
      <c r="P27" s="143">
        <f t="shared" si="17"/>
        <v>10.449999999999992</v>
      </c>
      <c r="Q27" s="167">
        <f t="shared" si="18"/>
        <v>0</v>
      </c>
      <c r="R27" s="168">
        <f t="shared" si="18"/>
        <v>0</v>
      </c>
      <c r="S27" s="168">
        <f t="shared" si="18"/>
        <v>0</v>
      </c>
      <c r="T27" s="169">
        <f t="shared" si="18"/>
        <v>0</v>
      </c>
      <c r="U27" s="97">
        <f t="shared" si="2"/>
        <v>0</v>
      </c>
      <c r="V27" s="97">
        <f t="shared" si="3"/>
        <v>0</v>
      </c>
      <c r="W27" s="97">
        <f t="shared" si="4"/>
        <v>0</v>
      </c>
      <c r="X27" s="97">
        <f t="shared" si="5"/>
        <v>0</v>
      </c>
      <c r="Y27" s="209"/>
      <c r="Z27" s="210"/>
      <c r="AA27" s="210"/>
      <c r="AB27" s="128">
        <f>IF(AND(D27="Jour férié semaine",((G27-F27)+(I27-H27)+(K27-J27)=0)),VLOOKUP(D27,Systeemgegevens!$J:$K,2,FALSE),0)</f>
        <v>0</v>
      </c>
      <c r="AC27" s="43">
        <f>IF(AND(NOT(ISERROR(FIND("Congé",D27))),ISERROR(FIND("1/2",D27)),ISERROR(FIND("Synd",D27)),ISERROR(FIND("synd",D27)),(G27-F27+I27-H27+K27-J27)=0),VLOOKUP(D27,Systeemgegevens!$J:$K,2,FALSE),IF(AND(NOT(ISERROR(FIND("1/2 Congé + ",D27))),(G27-F27+I27-H27+K27-J27)=0),VLOOKUP(D27,Systeemgegevens!$J:$K,2,FALSE)/2,IF(AND(NOT(ISERROR(FIND("1/2 Congé",D27))),ISERROR(FIND(" + ",D27)),ISERROR(FIND("1/2 Congé Synd.",D27))),VLOOKUP(D27,Systeemgegevens!$J:$K,2,FALSE),0)))</f>
        <v>0</v>
      </c>
      <c r="AD27" s="43">
        <f>IF(AND(OR(D27="1/2 Congé Synd.",D27="Congé Synd."),((G27-F27)+(I27-H27)+(K27-J27)=0)),VLOOKUP(D27,Systeemgegevens!$J:$K,2,FALSE),IF(AND(D27="1/2 Congé + 1/2 synd.",((G27-F27)+(I27-H27)+(K27-J27)=0)),AC27,0))</f>
        <v>0</v>
      </c>
      <c r="AE27" s="43">
        <f>IF(AND(D27="Jour de pont",((G27-F27)+(I27-H27)+(K27-J27)=0)),VLOOKUP(D27,Systeemgegevens!$J:$K,2,FALSE),0)</f>
        <v>0</v>
      </c>
      <c r="AF27" s="43">
        <f>IF(AND(D27="Jour libre 4/5",AND((G27-F27)+(I27-H27)+(K27-J27)=0)),VLOOKUP(D27,Systeemgegevens!$J:$K,2,FALSE),0)</f>
        <v>0</v>
      </c>
      <c r="AG27" s="118">
        <f>IF(AND(D27&lt;&gt;"",SUM(AB27:AF27)=0,D27&lt;&gt;$AB$4,D27&lt;&gt;$AC$4,D27&lt;&gt;$AE$4,D27&lt;&gt;$AF$4),VLOOKUP(D27,Systeemgegevens!$J:$K,2,FALSE),0)</f>
        <v>0</v>
      </c>
      <c r="AH27" s="119">
        <f t="shared" si="6"/>
        <v>0</v>
      </c>
      <c r="AI27" s="101">
        <f t="shared" si="7"/>
        <v>0</v>
      </c>
      <c r="AJ27" s="118">
        <f t="shared" si="19"/>
        <v>0</v>
      </c>
      <c r="AK27" s="119">
        <f t="shared" si="8"/>
        <v>0</v>
      </c>
      <c r="AL27" s="101">
        <f t="shared" si="9"/>
        <v>0</v>
      </c>
      <c r="AM27" s="43">
        <f t="shared" si="20"/>
        <v>0</v>
      </c>
      <c r="AN27" s="118">
        <f t="shared" si="21"/>
        <v>0</v>
      </c>
      <c r="AO27" s="122">
        <f t="shared" si="10"/>
        <v>0</v>
      </c>
      <c r="AP27" s="107">
        <f t="shared" si="11"/>
        <v>0</v>
      </c>
      <c r="AQ27" s="107">
        <f t="shared" si="12"/>
        <v>0</v>
      </c>
      <c r="AR27" s="123">
        <f t="shared" si="13"/>
        <v>0</v>
      </c>
      <c r="AS27" s="124">
        <f t="shared" si="14"/>
        <v>0</v>
      </c>
      <c r="AT27" s="124">
        <f t="shared" si="15"/>
        <v>0</v>
      </c>
      <c r="AU27" s="124">
        <f t="shared" si="16"/>
        <v>0</v>
      </c>
      <c r="AV27" s="117" t="s">
        <v>18</v>
      </c>
      <c r="AW27" s="129">
        <f>IF(($R$40=AV27)*AND($R$41&lt;&gt;""),VLOOKUP($R$41,'Barèmes police'!$BG$4:$BH$30,2),0)</f>
        <v>0</v>
      </c>
      <c r="AX27" s="16" t="str">
        <f>IF('Types de jours'!F33&lt;&gt;"",'Types de jours'!F33,"")</f>
        <v/>
      </c>
      <c r="AY27" s="144" t="str">
        <f>IF(AX27&lt;&gt;"",'Types de jours'!I33,"")</f>
        <v/>
      </c>
      <c r="AZ27" s="269"/>
      <c r="BA27" s="154"/>
      <c r="BB27" s="154"/>
      <c r="BC27" s="154"/>
      <c r="BD27" s="154"/>
      <c r="BE27" s="154"/>
      <c r="BF27" s="154"/>
    </row>
    <row r="28" spans="1:58" ht="12.75" customHeight="1" x14ac:dyDescent="0.2">
      <c r="A28" s="34"/>
      <c r="B28" s="24" t="str">
        <f t="shared" si="0"/>
        <v>Ve</v>
      </c>
      <c r="C28" s="25">
        <f t="shared" si="22"/>
        <v>45464</v>
      </c>
      <c r="D28" s="51"/>
      <c r="E28" s="116"/>
      <c r="F28" s="52"/>
      <c r="G28" s="53"/>
      <c r="H28" s="54"/>
      <c r="I28" s="55"/>
      <c r="J28" s="54"/>
      <c r="K28" s="55"/>
      <c r="L28" s="40">
        <f t="shared" si="1"/>
        <v>0</v>
      </c>
      <c r="M28" s="41">
        <f t="shared" si="23"/>
        <v>1.2666666666666666</v>
      </c>
      <c r="N28" s="42">
        <f>IF(AND(D28&lt;&gt;"Jour libre 4/5",B28&lt;&gt;"Sa",B28&lt;&gt;"Di"),SUM(N27,Configuration!$H$41),SUM(N27))</f>
        <v>12.033333333333326</v>
      </c>
      <c r="O28" s="49" t="str">
        <f t="shared" si="24"/>
        <v>-</v>
      </c>
      <c r="P28" s="143">
        <f t="shared" si="17"/>
        <v>10.766666666666659</v>
      </c>
      <c r="Q28" s="167">
        <f t="shared" si="18"/>
        <v>0</v>
      </c>
      <c r="R28" s="168">
        <f t="shared" si="18"/>
        <v>0</v>
      </c>
      <c r="S28" s="168">
        <f t="shared" si="18"/>
        <v>0</v>
      </c>
      <c r="T28" s="169">
        <f t="shared" si="18"/>
        <v>0</v>
      </c>
      <c r="U28" s="97">
        <f t="shared" si="2"/>
        <v>0</v>
      </c>
      <c r="V28" s="97">
        <f t="shared" si="3"/>
        <v>0</v>
      </c>
      <c r="W28" s="97">
        <f t="shared" si="4"/>
        <v>0</v>
      </c>
      <c r="X28" s="97">
        <f t="shared" si="5"/>
        <v>0</v>
      </c>
      <c r="Y28" s="209"/>
      <c r="Z28" s="210"/>
      <c r="AA28" s="210"/>
      <c r="AB28" s="128">
        <f>IF(AND(D28="Jour férié semaine",((G28-F28)+(I28-H28)+(K28-J28)=0)),VLOOKUP(D28,Systeemgegevens!$J:$K,2,FALSE),0)</f>
        <v>0</v>
      </c>
      <c r="AC28" s="43">
        <f>IF(AND(NOT(ISERROR(FIND("Congé",D28))),ISERROR(FIND("1/2",D28)),ISERROR(FIND("Synd",D28)),ISERROR(FIND("synd",D28)),(G28-F28+I28-H28+K28-J28)=0),VLOOKUP(D28,Systeemgegevens!$J:$K,2,FALSE),IF(AND(NOT(ISERROR(FIND("1/2 Congé + ",D28))),(G28-F28+I28-H28+K28-J28)=0),VLOOKUP(D28,Systeemgegevens!$J:$K,2,FALSE)/2,IF(AND(NOT(ISERROR(FIND("1/2 Congé",D28))),ISERROR(FIND(" + ",D28)),ISERROR(FIND("1/2 Congé Synd.",D28))),VLOOKUP(D28,Systeemgegevens!$J:$K,2,FALSE),0)))</f>
        <v>0</v>
      </c>
      <c r="AD28" s="43">
        <f>IF(AND(OR(D28="1/2 Congé Synd.",D28="Congé Synd."),((G28-F28)+(I28-H28)+(K28-J28)=0)),VLOOKUP(D28,Systeemgegevens!$J:$K,2,FALSE),IF(AND(D28="1/2 Congé + 1/2 synd.",((G28-F28)+(I28-H28)+(K28-J28)=0)),AC28,0))</f>
        <v>0</v>
      </c>
      <c r="AE28" s="43">
        <f>IF(AND(D28="Jour de pont",((G28-F28)+(I28-H28)+(K28-J28)=0)),VLOOKUP(D28,Systeemgegevens!$J:$K,2,FALSE),0)</f>
        <v>0</v>
      </c>
      <c r="AF28" s="43">
        <f>IF(AND(D28="Jour libre 4/5",AND((G28-F28)+(I28-H28)+(K28-J28)=0)),VLOOKUP(D28,Systeemgegevens!$J:$K,2,FALSE),0)</f>
        <v>0</v>
      </c>
      <c r="AG28" s="118">
        <f>IF(AND(D28&lt;&gt;"",SUM(AB28:AF28)=0,D28&lt;&gt;$AB$4,D28&lt;&gt;$AC$4,D28&lt;&gt;$AE$4,D28&lt;&gt;$AF$4),VLOOKUP(D28,Systeemgegevens!$J:$K,2,FALSE),0)</f>
        <v>0</v>
      </c>
      <c r="AH28" s="119">
        <f t="shared" si="6"/>
        <v>0</v>
      </c>
      <c r="AI28" s="101">
        <f t="shared" si="7"/>
        <v>0</v>
      </c>
      <c r="AJ28" s="118">
        <f t="shared" si="19"/>
        <v>0</v>
      </c>
      <c r="AK28" s="119">
        <f t="shared" si="8"/>
        <v>0</v>
      </c>
      <c r="AL28" s="101">
        <f t="shared" si="9"/>
        <v>0</v>
      </c>
      <c r="AM28" s="43">
        <f t="shared" si="20"/>
        <v>0</v>
      </c>
      <c r="AN28" s="118">
        <f t="shared" si="21"/>
        <v>0</v>
      </c>
      <c r="AO28" s="122">
        <f t="shared" si="10"/>
        <v>0</v>
      </c>
      <c r="AP28" s="107">
        <f t="shared" si="11"/>
        <v>0</v>
      </c>
      <c r="AQ28" s="107">
        <f t="shared" si="12"/>
        <v>0</v>
      </c>
      <c r="AR28" s="123">
        <f t="shared" si="13"/>
        <v>0</v>
      </c>
      <c r="AS28" s="124">
        <f t="shared" si="14"/>
        <v>0</v>
      </c>
      <c r="AT28" s="124">
        <f t="shared" si="15"/>
        <v>0</v>
      </c>
      <c r="AU28" s="124">
        <f t="shared" si="16"/>
        <v>0</v>
      </c>
      <c r="AV28" s="117" t="s">
        <v>17</v>
      </c>
      <c r="AW28" s="129">
        <f>IF(($R$40=AV28)*AND($R$41&lt;&gt;""),VLOOKUP($R$41,'Barèmes police'!$BJ$4:$BK$30,2),0)</f>
        <v>0</v>
      </c>
      <c r="AX28" s="16" t="str">
        <f>IF('Types de jours'!F34&lt;&gt;"",'Types de jours'!F34,"")</f>
        <v/>
      </c>
      <c r="AY28" s="144" t="str">
        <f>IF(AX28&lt;&gt;"",'Types de jours'!I34,"")</f>
        <v/>
      </c>
      <c r="AZ28" s="269"/>
      <c r="BA28" s="154"/>
      <c r="BB28" s="154"/>
      <c r="BC28" s="154"/>
      <c r="BD28" s="154"/>
      <c r="BE28" s="154"/>
      <c r="BF28" s="154"/>
    </row>
    <row r="29" spans="1:58" ht="12.75" customHeight="1" x14ac:dyDescent="0.2">
      <c r="A29" s="34"/>
      <c r="B29" s="24" t="str">
        <f t="shared" si="0"/>
        <v>Sa</v>
      </c>
      <c r="C29" s="25">
        <f t="shared" si="22"/>
        <v>45465</v>
      </c>
      <c r="D29" s="51"/>
      <c r="E29" s="116"/>
      <c r="F29" s="52"/>
      <c r="G29" s="53"/>
      <c r="H29" s="54"/>
      <c r="I29" s="55"/>
      <c r="J29" s="54"/>
      <c r="K29" s="55"/>
      <c r="L29" s="40">
        <f t="shared" si="1"/>
        <v>0</v>
      </c>
      <c r="M29" s="41">
        <f t="shared" si="23"/>
        <v>1.2666666666666666</v>
      </c>
      <c r="N29" s="42">
        <f>IF(AND(D29&lt;&gt;"Jour libre 4/5",B29&lt;&gt;"Sa",B29&lt;&gt;"Di"),SUM(N28,Configuration!$H$41),SUM(N28))</f>
        <v>12.033333333333326</v>
      </c>
      <c r="O29" s="49" t="str">
        <f t="shared" si="24"/>
        <v>-</v>
      </c>
      <c r="P29" s="143">
        <f t="shared" si="17"/>
        <v>10.766666666666659</v>
      </c>
      <c r="Q29" s="167">
        <f t="shared" si="18"/>
        <v>0</v>
      </c>
      <c r="R29" s="168">
        <f t="shared" si="18"/>
        <v>0</v>
      </c>
      <c r="S29" s="168">
        <f t="shared" si="18"/>
        <v>0</v>
      </c>
      <c r="T29" s="169">
        <f t="shared" si="18"/>
        <v>0</v>
      </c>
      <c r="U29" s="97">
        <f t="shared" si="2"/>
        <v>0</v>
      </c>
      <c r="V29" s="97">
        <f t="shared" si="3"/>
        <v>0</v>
      </c>
      <c r="W29" s="97">
        <f t="shared" si="4"/>
        <v>0</v>
      </c>
      <c r="X29" s="97">
        <f t="shared" si="5"/>
        <v>0</v>
      </c>
      <c r="Y29" s="209"/>
      <c r="Z29" s="210"/>
      <c r="AA29" s="210"/>
      <c r="AB29" s="128">
        <f>IF(AND(D29="Jour férié semaine",((G29-F29)+(I29-H29)+(K29-J29)=0)),VLOOKUP(D29,Systeemgegevens!$J:$K,2,FALSE),0)</f>
        <v>0</v>
      </c>
      <c r="AC29" s="43">
        <f>IF(AND(NOT(ISERROR(FIND("Congé",D29))),ISERROR(FIND("1/2",D29)),ISERROR(FIND("Synd",D29)),ISERROR(FIND("synd",D29)),(G29-F29+I29-H29+K29-J29)=0),VLOOKUP(D29,Systeemgegevens!$J:$K,2,FALSE),IF(AND(NOT(ISERROR(FIND("1/2 Congé + ",D29))),(G29-F29+I29-H29+K29-J29)=0),VLOOKUP(D29,Systeemgegevens!$J:$K,2,FALSE)/2,IF(AND(NOT(ISERROR(FIND("1/2 Congé",D29))),ISERROR(FIND(" + ",D29)),ISERROR(FIND("1/2 Congé Synd.",D29))),VLOOKUP(D29,Systeemgegevens!$J:$K,2,FALSE),0)))</f>
        <v>0</v>
      </c>
      <c r="AD29" s="43">
        <f>IF(AND(OR(D29="1/2 Congé Synd.",D29="Congé Synd."),((G29-F29)+(I29-H29)+(K29-J29)=0)),VLOOKUP(D29,Systeemgegevens!$J:$K,2,FALSE),IF(AND(D29="1/2 Congé + 1/2 synd.",((G29-F29)+(I29-H29)+(K29-J29)=0)),AC29,0))</f>
        <v>0</v>
      </c>
      <c r="AE29" s="43">
        <f>IF(AND(D29="Jour de pont",((G29-F29)+(I29-H29)+(K29-J29)=0)),VLOOKUP(D29,Systeemgegevens!$J:$K,2,FALSE),0)</f>
        <v>0</v>
      </c>
      <c r="AF29" s="43">
        <f>IF(AND(D29="Jour libre 4/5",AND((G29-F29)+(I29-H29)+(K29-J29)=0)),VLOOKUP(D29,Systeemgegevens!$J:$K,2,FALSE),0)</f>
        <v>0</v>
      </c>
      <c r="AG29" s="118">
        <f>IF(AND(D29&lt;&gt;"",SUM(AB29:AF29)=0,D29&lt;&gt;$AB$4,D29&lt;&gt;$AC$4,D29&lt;&gt;$AE$4,D29&lt;&gt;$AF$4),VLOOKUP(D29,Systeemgegevens!$J:$K,2,FALSE),0)</f>
        <v>0</v>
      </c>
      <c r="AH29" s="119">
        <f t="shared" si="6"/>
        <v>0</v>
      </c>
      <c r="AI29" s="101">
        <f t="shared" si="7"/>
        <v>0</v>
      </c>
      <c r="AJ29" s="118">
        <f t="shared" si="19"/>
        <v>0</v>
      </c>
      <c r="AK29" s="119">
        <f t="shared" si="8"/>
        <v>0</v>
      </c>
      <c r="AL29" s="101">
        <f t="shared" si="9"/>
        <v>0</v>
      </c>
      <c r="AM29" s="43">
        <f t="shared" si="20"/>
        <v>0</v>
      </c>
      <c r="AN29" s="118">
        <f t="shared" si="21"/>
        <v>0</v>
      </c>
      <c r="AO29" s="122">
        <f t="shared" si="10"/>
        <v>0</v>
      </c>
      <c r="AP29" s="107">
        <f t="shared" si="11"/>
        <v>0</v>
      </c>
      <c r="AQ29" s="107">
        <f t="shared" si="12"/>
        <v>0</v>
      </c>
      <c r="AR29" s="123">
        <f t="shared" si="13"/>
        <v>0</v>
      </c>
      <c r="AS29" s="124">
        <f t="shared" si="14"/>
        <v>0</v>
      </c>
      <c r="AT29" s="124">
        <f t="shared" si="15"/>
        <v>0</v>
      </c>
      <c r="AU29" s="124">
        <f t="shared" si="16"/>
        <v>0</v>
      </c>
      <c r="AV29" s="117" t="s">
        <v>16</v>
      </c>
      <c r="AW29" s="129">
        <f>IF(($R$40=AV29)*AND($R$41&lt;&gt;""),VLOOKUP($R$41,'Barèmes police'!$BM$4:$BN$30,2),0)</f>
        <v>0</v>
      </c>
      <c r="AX29" s="145" t="str">
        <f>IF('Types de jours'!F35&lt;&gt;"",'Types de jours'!F35,"")</f>
        <v/>
      </c>
      <c r="AY29" s="146" t="str">
        <f>IF(AX29&lt;&gt;"",'Types de jours'!I35,"")</f>
        <v/>
      </c>
      <c r="AZ29" s="269"/>
      <c r="BA29" s="154"/>
      <c r="BB29" s="154"/>
      <c r="BC29" s="154"/>
      <c r="BD29" s="154"/>
      <c r="BE29" s="154"/>
      <c r="BF29" s="154"/>
    </row>
    <row r="30" spans="1:58" ht="12.75" customHeight="1" x14ac:dyDescent="0.2">
      <c r="A30" s="34"/>
      <c r="B30" s="24" t="str">
        <f t="shared" si="0"/>
        <v>Di</v>
      </c>
      <c r="C30" s="25">
        <f t="shared" si="22"/>
        <v>45466</v>
      </c>
      <c r="D30" s="51"/>
      <c r="E30" s="116"/>
      <c r="F30" s="52"/>
      <c r="G30" s="53"/>
      <c r="H30" s="54"/>
      <c r="I30" s="55"/>
      <c r="J30" s="54"/>
      <c r="K30" s="55"/>
      <c r="L30" s="40">
        <f t="shared" si="1"/>
        <v>0</v>
      </c>
      <c r="M30" s="41">
        <f t="shared" si="23"/>
        <v>1.2666666666666666</v>
      </c>
      <c r="N30" s="42">
        <f>IF(AND(D30&lt;&gt;"Jour libre 4/5",B30&lt;&gt;"Sa",B30&lt;&gt;"Di"),SUM(N29,Configuration!$H$41),SUM(N29))</f>
        <v>12.033333333333326</v>
      </c>
      <c r="O30" s="49" t="str">
        <f t="shared" si="24"/>
        <v>-</v>
      </c>
      <c r="P30" s="143">
        <f t="shared" si="17"/>
        <v>10.766666666666659</v>
      </c>
      <c r="Q30" s="167">
        <f t="shared" si="18"/>
        <v>0</v>
      </c>
      <c r="R30" s="168">
        <f t="shared" si="18"/>
        <v>0</v>
      </c>
      <c r="S30" s="168">
        <f t="shared" si="18"/>
        <v>0</v>
      </c>
      <c r="T30" s="169">
        <f t="shared" si="18"/>
        <v>0</v>
      </c>
      <c r="U30" s="97">
        <f t="shared" si="2"/>
        <v>0</v>
      </c>
      <c r="V30" s="97">
        <f t="shared" si="3"/>
        <v>0</v>
      </c>
      <c r="W30" s="97">
        <f t="shared" si="4"/>
        <v>0</v>
      </c>
      <c r="X30" s="97">
        <f t="shared" si="5"/>
        <v>0</v>
      </c>
      <c r="Y30" s="209"/>
      <c r="Z30" s="210"/>
      <c r="AA30" s="210"/>
      <c r="AB30" s="128">
        <f>IF(AND(D30="Jour férié semaine",((G30-F30)+(I30-H30)+(K30-J30)=0)),VLOOKUP(D30,Systeemgegevens!$J:$K,2,FALSE),0)</f>
        <v>0</v>
      </c>
      <c r="AC30" s="43">
        <f>IF(AND(NOT(ISERROR(FIND("Congé",D30))),ISERROR(FIND("1/2",D30)),ISERROR(FIND("Synd",D30)),ISERROR(FIND("synd",D30)),(G30-F30+I30-H30+K30-J30)=0),VLOOKUP(D30,Systeemgegevens!$J:$K,2,FALSE),IF(AND(NOT(ISERROR(FIND("1/2 Congé + ",D30))),(G30-F30+I30-H30+K30-J30)=0),VLOOKUP(D30,Systeemgegevens!$J:$K,2,FALSE)/2,IF(AND(NOT(ISERROR(FIND("1/2 Congé",D30))),ISERROR(FIND(" + ",D30)),ISERROR(FIND("1/2 Congé Synd.",D30))),VLOOKUP(D30,Systeemgegevens!$J:$K,2,FALSE),0)))</f>
        <v>0</v>
      </c>
      <c r="AD30" s="43">
        <f>IF(AND(OR(D30="1/2 Congé Synd.",D30="Congé Synd."),((G30-F30)+(I30-H30)+(K30-J30)=0)),VLOOKUP(D30,Systeemgegevens!$J:$K,2,FALSE),IF(AND(D30="1/2 Congé + 1/2 synd.",((G30-F30)+(I30-H30)+(K30-J30)=0)),AC30,0))</f>
        <v>0</v>
      </c>
      <c r="AE30" s="43">
        <f>IF(AND(D30="Jour de pont",((G30-F30)+(I30-H30)+(K30-J30)=0)),VLOOKUP(D30,Systeemgegevens!$J:$K,2,FALSE),0)</f>
        <v>0</v>
      </c>
      <c r="AF30" s="43">
        <f>IF(AND(D30="Jour libre 4/5",AND((G30-F30)+(I30-H30)+(K30-J30)=0)),VLOOKUP(D30,Systeemgegevens!$J:$K,2,FALSE),0)</f>
        <v>0</v>
      </c>
      <c r="AG30" s="118">
        <f>IF(AND(D30&lt;&gt;"",SUM(AB30:AF30)=0,D30&lt;&gt;$AB$4,D30&lt;&gt;$AC$4,D30&lt;&gt;$AE$4,D30&lt;&gt;$AF$4),VLOOKUP(D30,Systeemgegevens!$J:$K,2,FALSE),0)</f>
        <v>0</v>
      </c>
      <c r="AH30" s="119">
        <f t="shared" si="6"/>
        <v>0</v>
      </c>
      <c r="AI30" s="101">
        <f t="shared" si="7"/>
        <v>0</v>
      </c>
      <c r="AJ30" s="118">
        <f t="shared" si="19"/>
        <v>0</v>
      </c>
      <c r="AK30" s="119">
        <f t="shared" si="8"/>
        <v>0</v>
      </c>
      <c r="AL30" s="101">
        <f t="shared" si="9"/>
        <v>0</v>
      </c>
      <c r="AM30" s="43">
        <f t="shared" si="20"/>
        <v>0</v>
      </c>
      <c r="AN30" s="118">
        <f t="shared" si="21"/>
        <v>0</v>
      </c>
      <c r="AO30" s="122">
        <f t="shared" si="10"/>
        <v>0</v>
      </c>
      <c r="AP30" s="107">
        <f t="shared" si="11"/>
        <v>0</v>
      </c>
      <c r="AQ30" s="107">
        <f t="shared" si="12"/>
        <v>0</v>
      </c>
      <c r="AR30" s="123">
        <f t="shared" si="13"/>
        <v>0</v>
      </c>
      <c r="AS30" s="124">
        <f t="shared" si="14"/>
        <v>0</v>
      </c>
      <c r="AT30" s="124">
        <f t="shared" si="15"/>
        <v>0</v>
      </c>
      <c r="AU30" s="124">
        <f t="shared" si="16"/>
        <v>0</v>
      </c>
      <c r="AV30" s="117" t="s">
        <v>14</v>
      </c>
      <c r="AW30" s="129">
        <f>IF(($R$40=AV30)*AND($R$41&lt;&gt;""),VLOOKUP($R$41,'Barèmes police'!$B$40:$C$66,2),0)</f>
        <v>0</v>
      </c>
      <c r="AX30" s="129"/>
      <c r="AY30" s="129"/>
      <c r="AZ30" s="154"/>
      <c r="BA30" s="154"/>
      <c r="BB30" s="154"/>
      <c r="BC30" s="154"/>
      <c r="BD30" s="154"/>
      <c r="BE30" s="154"/>
      <c r="BF30" s="154"/>
    </row>
    <row r="31" spans="1:58" ht="12.75" customHeight="1" x14ac:dyDescent="0.2">
      <c r="A31" s="34"/>
      <c r="B31" s="24" t="str">
        <f t="shared" si="0"/>
        <v>Lu</v>
      </c>
      <c r="C31" s="25">
        <f t="shared" si="22"/>
        <v>45467</v>
      </c>
      <c r="D31" s="51"/>
      <c r="E31" s="116"/>
      <c r="F31" s="52"/>
      <c r="G31" s="53"/>
      <c r="H31" s="52"/>
      <c r="I31" s="53"/>
      <c r="J31" s="54"/>
      <c r="K31" s="55"/>
      <c r="L31" s="40">
        <f t="shared" si="1"/>
        <v>0</v>
      </c>
      <c r="M31" s="41">
        <f t="shared" si="23"/>
        <v>1.2666666666666666</v>
      </c>
      <c r="N31" s="42">
        <f>IF(AND(D31&lt;&gt;"Jour libre 4/5",B31&lt;&gt;"Sa",B31&lt;&gt;"Di"),SUM(N30,Configuration!$H$41),SUM(N30))</f>
        <v>12.349999999999993</v>
      </c>
      <c r="O31" s="49" t="str">
        <f t="shared" si="24"/>
        <v>-</v>
      </c>
      <c r="P31" s="143">
        <f t="shared" si="17"/>
        <v>11.083333333333325</v>
      </c>
      <c r="Q31" s="167">
        <f t="shared" si="18"/>
        <v>0</v>
      </c>
      <c r="R31" s="168">
        <f t="shared" si="18"/>
        <v>0</v>
      </c>
      <c r="S31" s="168">
        <f t="shared" si="18"/>
        <v>0</v>
      </c>
      <c r="T31" s="169">
        <f t="shared" si="18"/>
        <v>0</v>
      </c>
      <c r="U31" s="97">
        <f t="shared" si="2"/>
        <v>0</v>
      </c>
      <c r="V31" s="97">
        <f t="shared" si="3"/>
        <v>0</v>
      </c>
      <c r="W31" s="97">
        <f t="shared" si="4"/>
        <v>0</v>
      </c>
      <c r="X31" s="97">
        <f t="shared" si="5"/>
        <v>0</v>
      </c>
      <c r="Y31" s="209"/>
      <c r="Z31" s="210"/>
      <c r="AA31" s="210"/>
      <c r="AB31" s="128">
        <f>IF(AND(D31="Jour férié semaine",((G31-F31)+(I31-H31)+(K31-J31)=0)),VLOOKUP(D31,Systeemgegevens!$J:$K,2,FALSE),0)</f>
        <v>0</v>
      </c>
      <c r="AC31" s="43">
        <f>IF(AND(NOT(ISERROR(FIND("Congé",D31))),ISERROR(FIND("1/2",D31)),ISERROR(FIND("Synd",D31)),ISERROR(FIND("synd",D31)),(G31-F31+I31-H31+K31-J31)=0),VLOOKUP(D31,Systeemgegevens!$J:$K,2,FALSE),IF(AND(NOT(ISERROR(FIND("1/2 Congé + ",D31))),(G31-F31+I31-H31+K31-J31)=0),VLOOKUP(D31,Systeemgegevens!$J:$K,2,FALSE)/2,IF(AND(NOT(ISERROR(FIND("1/2 Congé",D31))),ISERROR(FIND(" + ",D31)),ISERROR(FIND("1/2 Congé Synd.",D31))),VLOOKUP(D31,Systeemgegevens!$J:$K,2,FALSE),0)))</f>
        <v>0</v>
      </c>
      <c r="AD31" s="43">
        <f>IF(AND(OR(D31="1/2 Congé Synd.",D31="Congé Synd."),((G31-F31)+(I31-H31)+(K31-J31)=0)),VLOOKUP(D31,Systeemgegevens!$J:$K,2,FALSE),IF(AND(D31="1/2 Congé + 1/2 synd.",((G31-F31)+(I31-H31)+(K31-J31)=0)),AC31,0))</f>
        <v>0</v>
      </c>
      <c r="AE31" s="43">
        <f>IF(AND(D31="Jour de pont",((G31-F31)+(I31-H31)+(K31-J31)=0)),VLOOKUP(D31,Systeemgegevens!$J:$K,2,FALSE),0)</f>
        <v>0</v>
      </c>
      <c r="AF31" s="43">
        <f>IF(AND(D31="Jour libre 4/5",AND((G31-F31)+(I31-H31)+(K31-J31)=0)),VLOOKUP(D31,Systeemgegevens!$J:$K,2,FALSE),0)</f>
        <v>0</v>
      </c>
      <c r="AG31" s="118">
        <f>IF(AND(D31&lt;&gt;"",SUM(AB31:AF31)=0,D31&lt;&gt;$AB$4,D31&lt;&gt;$AC$4,D31&lt;&gt;$AE$4,D31&lt;&gt;$AF$4),VLOOKUP(D31,Systeemgegevens!$J:$K,2,FALSE),0)</f>
        <v>0</v>
      </c>
      <c r="AH31" s="119">
        <f t="shared" si="6"/>
        <v>0</v>
      </c>
      <c r="AI31" s="101">
        <f t="shared" si="7"/>
        <v>0</v>
      </c>
      <c r="AJ31" s="118">
        <f t="shared" si="19"/>
        <v>0</v>
      </c>
      <c r="AK31" s="119">
        <f t="shared" si="8"/>
        <v>0</v>
      </c>
      <c r="AL31" s="101">
        <f t="shared" si="9"/>
        <v>0</v>
      </c>
      <c r="AM31" s="43">
        <f t="shared" si="20"/>
        <v>0</v>
      </c>
      <c r="AN31" s="118">
        <f t="shared" si="21"/>
        <v>0</v>
      </c>
      <c r="AO31" s="122">
        <f t="shared" si="10"/>
        <v>0</v>
      </c>
      <c r="AP31" s="107">
        <f t="shared" si="11"/>
        <v>0</v>
      </c>
      <c r="AQ31" s="107">
        <f t="shared" si="12"/>
        <v>0</v>
      </c>
      <c r="AR31" s="123">
        <f t="shared" si="13"/>
        <v>0</v>
      </c>
      <c r="AS31" s="124">
        <f t="shared" si="14"/>
        <v>0</v>
      </c>
      <c r="AT31" s="124">
        <f t="shared" si="15"/>
        <v>0</v>
      </c>
      <c r="AU31" s="124">
        <f t="shared" si="16"/>
        <v>0</v>
      </c>
      <c r="AV31" s="117" t="s">
        <v>13</v>
      </c>
      <c r="AW31" s="129">
        <f>IF(($R$40=AV31)*AND($R$41&lt;&gt;""),VLOOKUP($R$41,'Barèmes police'!$E$40:$F$66,2),0)</f>
        <v>0</v>
      </c>
      <c r="AX31" s="129"/>
      <c r="AY31" s="129"/>
      <c r="AZ31" s="154"/>
      <c r="BA31" s="154"/>
      <c r="BB31" s="154"/>
      <c r="BC31" s="154"/>
      <c r="BD31" s="154"/>
      <c r="BE31" s="154"/>
      <c r="BF31" s="154"/>
    </row>
    <row r="32" spans="1:58" ht="12.75" customHeight="1" x14ac:dyDescent="0.2">
      <c r="A32" s="34"/>
      <c r="B32" s="24" t="str">
        <f t="shared" si="0"/>
        <v>Ma</v>
      </c>
      <c r="C32" s="25">
        <f t="shared" si="22"/>
        <v>45468</v>
      </c>
      <c r="D32" s="51"/>
      <c r="E32" s="116"/>
      <c r="F32" s="52"/>
      <c r="G32" s="53"/>
      <c r="H32" s="52"/>
      <c r="I32" s="53"/>
      <c r="J32" s="54"/>
      <c r="K32" s="55"/>
      <c r="L32" s="40">
        <f t="shared" si="1"/>
        <v>0</v>
      </c>
      <c r="M32" s="41">
        <f t="shared" si="23"/>
        <v>1.2666666666666666</v>
      </c>
      <c r="N32" s="42">
        <f>IF(AND(D32&lt;&gt;"Jour libre 4/5",B32&lt;&gt;"Sa",B32&lt;&gt;"Di"),SUM(N31,Configuration!$H$41),SUM(N31))</f>
        <v>12.666666666666659</v>
      </c>
      <c r="O32" s="49" t="str">
        <f t="shared" si="24"/>
        <v>-</v>
      </c>
      <c r="P32" s="143">
        <f t="shared" si="17"/>
        <v>11.399999999999991</v>
      </c>
      <c r="Q32" s="167">
        <f t="shared" si="18"/>
        <v>0</v>
      </c>
      <c r="R32" s="168">
        <f t="shared" si="18"/>
        <v>0</v>
      </c>
      <c r="S32" s="168">
        <f t="shared" si="18"/>
        <v>0</v>
      </c>
      <c r="T32" s="169">
        <f t="shared" si="18"/>
        <v>0</v>
      </c>
      <c r="U32" s="97">
        <f t="shared" si="2"/>
        <v>0</v>
      </c>
      <c r="V32" s="97">
        <f t="shared" si="3"/>
        <v>0</v>
      </c>
      <c r="W32" s="97">
        <f t="shared" si="4"/>
        <v>0</v>
      </c>
      <c r="X32" s="97">
        <f t="shared" si="5"/>
        <v>0</v>
      </c>
      <c r="Y32" s="209"/>
      <c r="Z32" s="210"/>
      <c r="AA32" s="210"/>
      <c r="AB32" s="128">
        <f>IF(AND(D32="Jour férié semaine",((G32-F32)+(I32-H32)+(K32-J32)=0)),VLOOKUP(D32,Systeemgegevens!$J:$K,2,FALSE),0)</f>
        <v>0</v>
      </c>
      <c r="AC32" s="43">
        <f>IF(AND(NOT(ISERROR(FIND("Congé",D32))),ISERROR(FIND("1/2",D32)),ISERROR(FIND("Synd",D32)),ISERROR(FIND("synd",D32)),(G32-F32+I32-H32+K32-J32)=0),VLOOKUP(D32,Systeemgegevens!$J:$K,2,FALSE),IF(AND(NOT(ISERROR(FIND("1/2 Congé + ",D32))),(G32-F32+I32-H32+K32-J32)=0),VLOOKUP(D32,Systeemgegevens!$J:$K,2,FALSE)/2,IF(AND(NOT(ISERROR(FIND("1/2 Congé",D32))),ISERROR(FIND(" + ",D32)),ISERROR(FIND("1/2 Congé Synd.",D32))),VLOOKUP(D32,Systeemgegevens!$J:$K,2,FALSE),0)))</f>
        <v>0</v>
      </c>
      <c r="AD32" s="43">
        <f>IF(AND(OR(D32="1/2 Congé Synd.",D32="Congé Synd."),((G32-F32)+(I32-H32)+(K32-J32)=0)),VLOOKUP(D32,Systeemgegevens!$J:$K,2,FALSE),IF(AND(D32="1/2 Congé + 1/2 synd.",((G32-F32)+(I32-H32)+(K32-J32)=0)),AC32,0))</f>
        <v>0</v>
      </c>
      <c r="AE32" s="43">
        <f>IF(AND(D32="Jour de pont",((G32-F32)+(I32-H32)+(K32-J32)=0)),VLOOKUP(D32,Systeemgegevens!$J:$K,2,FALSE),0)</f>
        <v>0</v>
      </c>
      <c r="AF32" s="43">
        <f>IF(AND(D32="Jour libre 4/5",AND((G32-F32)+(I32-H32)+(K32-J32)=0)),VLOOKUP(D32,Systeemgegevens!$J:$K,2,FALSE),0)</f>
        <v>0</v>
      </c>
      <c r="AG32" s="118">
        <f>IF(AND(D32&lt;&gt;"",SUM(AB32:AF32)=0,D32&lt;&gt;$AB$4,D32&lt;&gt;$AC$4,D32&lt;&gt;$AE$4,D32&lt;&gt;$AF$4),VLOOKUP(D32,Systeemgegevens!$J:$K,2,FALSE),0)</f>
        <v>0</v>
      </c>
      <c r="AH32" s="119">
        <f t="shared" si="6"/>
        <v>0</v>
      </c>
      <c r="AI32" s="101">
        <f t="shared" si="7"/>
        <v>0</v>
      </c>
      <c r="AJ32" s="118">
        <f t="shared" si="19"/>
        <v>0</v>
      </c>
      <c r="AK32" s="119">
        <f t="shared" si="8"/>
        <v>0</v>
      </c>
      <c r="AL32" s="101">
        <f t="shared" si="9"/>
        <v>0</v>
      </c>
      <c r="AM32" s="43">
        <f t="shared" si="20"/>
        <v>0</v>
      </c>
      <c r="AN32" s="118">
        <f t="shared" si="21"/>
        <v>0</v>
      </c>
      <c r="AO32" s="122">
        <f t="shared" si="10"/>
        <v>0</v>
      </c>
      <c r="AP32" s="107">
        <f t="shared" si="11"/>
        <v>0</v>
      </c>
      <c r="AQ32" s="107">
        <f t="shared" si="12"/>
        <v>0</v>
      </c>
      <c r="AR32" s="123">
        <f t="shared" si="13"/>
        <v>0</v>
      </c>
      <c r="AS32" s="124">
        <f t="shared" si="14"/>
        <v>0</v>
      </c>
      <c r="AT32" s="124">
        <f t="shared" si="15"/>
        <v>0</v>
      </c>
      <c r="AU32" s="124">
        <f t="shared" si="16"/>
        <v>0</v>
      </c>
      <c r="AV32" s="117" t="s">
        <v>7</v>
      </c>
      <c r="AW32" s="129">
        <f>IF(($R$40=AV32)*AND($R$41&lt;&gt;""),VLOOKUP($R$41,'Barèmes police'!$AC$40:$AD$66,2),0)</f>
        <v>0</v>
      </c>
      <c r="AX32" s="129"/>
      <c r="AY32" s="129"/>
      <c r="AZ32" s="154"/>
      <c r="BA32" s="154"/>
      <c r="BB32" s="154"/>
      <c r="BC32" s="154"/>
      <c r="BD32" s="154"/>
      <c r="BE32" s="154"/>
      <c r="BF32" s="154"/>
    </row>
    <row r="33" spans="1:58" ht="12.75" customHeight="1" x14ac:dyDescent="0.2">
      <c r="A33" s="34"/>
      <c r="B33" s="24" t="str">
        <f t="shared" si="0"/>
        <v>Me</v>
      </c>
      <c r="C33" s="25">
        <f t="shared" si="22"/>
        <v>45469</v>
      </c>
      <c r="D33" s="51"/>
      <c r="E33" s="116"/>
      <c r="F33" s="52"/>
      <c r="G33" s="53"/>
      <c r="H33" s="54"/>
      <c r="I33" s="55"/>
      <c r="J33" s="54"/>
      <c r="K33" s="55"/>
      <c r="L33" s="40">
        <f t="shared" si="1"/>
        <v>0</v>
      </c>
      <c r="M33" s="41">
        <f t="shared" si="23"/>
        <v>1.2666666666666666</v>
      </c>
      <c r="N33" s="42">
        <f>IF(AND(D33&lt;&gt;"Jour libre 4/5",B33&lt;&gt;"Sa",B33&lt;&gt;"Di"),SUM(N32,Configuration!$H$41),SUM(N32))</f>
        <v>12.983333333333325</v>
      </c>
      <c r="O33" s="49" t="str">
        <f t="shared" si="24"/>
        <v>-</v>
      </c>
      <c r="P33" s="143">
        <f t="shared" si="17"/>
        <v>11.716666666666658</v>
      </c>
      <c r="Q33" s="167">
        <f t="shared" si="18"/>
        <v>0</v>
      </c>
      <c r="R33" s="168">
        <f t="shared" si="18"/>
        <v>0</v>
      </c>
      <c r="S33" s="168">
        <f t="shared" si="18"/>
        <v>0</v>
      </c>
      <c r="T33" s="169">
        <f t="shared" si="18"/>
        <v>0</v>
      </c>
      <c r="U33" s="97">
        <f t="shared" si="2"/>
        <v>0</v>
      </c>
      <c r="V33" s="97">
        <f t="shared" si="3"/>
        <v>0</v>
      </c>
      <c r="W33" s="97">
        <f t="shared" si="4"/>
        <v>0</v>
      </c>
      <c r="X33" s="97">
        <f t="shared" si="5"/>
        <v>0</v>
      </c>
      <c r="Y33" s="209"/>
      <c r="Z33" s="210"/>
      <c r="AA33" s="210"/>
      <c r="AB33" s="128">
        <f>IF(AND(D33="Jour férié semaine",((G33-F33)+(I33-H33)+(K33-J33)=0)),VLOOKUP(D33,Systeemgegevens!$J:$K,2,FALSE),0)</f>
        <v>0</v>
      </c>
      <c r="AC33" s="43">
        <f>IF(AND(NOT(ISERROR(FIND("Congé",D33))),ISERROR(FIND("1/2",D33)),ISERROR(FIND("Synd",D33)),ISERROR(FIND("synd",D33)),(G33-F33+I33-H33+K33-J33)=0),VLOOKUP(D33,Systeemgegevens!$J:$K,2,FALSE),IF(AND(NOT(ISERROR(FIND("1/2 Congé + ",D33))),(G33-F33+I33-H33+K33-J33)=0),VLOOKUP(D33,Systeemgegevens!$J:$K,2,FALSE)/2,IF(AND(NOT(ISERROR(FIND("1/2 Congé",D33))),ISERROR(FIND(" + ",D33)),ISERROR(FIND("1/2 Congé Synd.",D33))),VLOOKUP(D33,Systeemgegevens!$J:$K,2,FALSE),0)))</f>
        <v>0</v>
      </c>
      <c r="AD33" s="43">
        <f>IF(AND(OR(D33="1/2 Congé Synd.",D33="Congé Synd."),((G33-F33)+(I33-H33)+(K33-J33)=0)),VLOOKUP(D33,Systeemgegevens!$J:$K,2,FALSE),IF(AND(D33="1/2 Congé + 1/2 synd.",((G33-F33)+(I33-H33)+(K33-J33)=0)),AC33,0))</f>
        <v>0</v>
      </c>
      <c r="AE33" s="43">
        <f>IF(AND(D33="Jour de pont",((G33-F33)+(I33-H33)+(K33-J33)=0)),VLOOKUP(D33,Systeemgegevens!$J:$K,2,FALSE),0)</f>
        <v>0</v>
      </c>
      <c r="AF33" s="43">
        <f>IF(AND(D33="Jour libre 4/5",AND((G33-F33)+(I33-H33)+(K33-J33)=0)),VLOOKUP(D33,Systeemgegevens!$J:$K,2,FALSE),0)</f>
        <v>0</v>
      </c>
      <c r="AG33" s="118">
        <f>IF(AND(D33&lt;&gt;"",SUM(AB33:AF33)=0,D33&lt;&gt;$AB$4,D33&lt;&gt;$AC$4,D33&lt;&gt;$AE$4,D33&lt;&gt;$AF$4),VLOOKUP(D33,Systeemgegevens!$J:$K,2,FALSE),0)</f>
        <v>0</v>
      </c>
      <c r="AH33" s="119">
        <f t="shared" si="6"/>
        <v>0</v>
      </c>
      <c r="AI33" s="101">
        <f t="shared" si="7"/>
        <v>0</v>
      </c>
      <c r="AJ33" s="118">
        <f t="shared" si="19"/>
        <v>0</v>
      </c>
      <c r="AK33" s="119">
        <f t="shared" si="8"/>
        <v>0</v>
      </c>
      <c r="AL33" s="101">
        <f t="shared" si="9"/>
        <v>0</v>
      </c>
      <c r="AM33" s="43">
        <f t="shared" si="20"/>
        <v>0</v>
      </c>
      <c r="AN33" s="118">
        <f t="shared" si="21"/>
        <v>0</v>
      </c>
      <c r="AO33" s="122">
        <f t="shared" si="10"/>
        <v>0</v>
      </c>
      <c r="AP33" s="107">
        <f t="shared" si="11"/>
        <v>0</v>
      </c>
      <c r="AQ33" s="107">
        <f t="shared" si="12"/>
        <v>0</v>
      </c>
      <c r="AR33" s="123">
        <f t="shared" si="13"/>
        <v>0</v>
      </c>
      <c r="AS33" s="124">
        <f t="shared" si="14"/>
        <v>0</v>
      </c>
      <c r="AT33" s="124">
        <f t="shared" si="15"/>
        <v>0</v>
      </c>
      <c r="AU33" s="124">
        <f t="shared" si="16"/>
        <v>0</v>
      </c>
      <c r="AV33" s="117" t="s">
        <v>12</v>
      </c>
      <c r="AW33" s="129">
        <f>IF(($R$40=AV33)*AND($R$41&lt;&gt;""),VLOOKUP($R$41,'Barèmes police'!$H$40:$I$66,2),0)</f>
        <v>0</v>
      </c>
      <c r="AX33" s="129"/>
      <c r="AY33" s="129"/>
      <c r="AZ33" s="154"/>
      <c r="BA33" s="154"/>
      <c r="BB33" s="154"/>
      <c r="BC33" s="154"/>
      <c r="BD33" s="154"/>
      <c r="BE33" s="154"/>
      <c r="BF33" s="154"/>
    </row>
    <row r="34" spans="1:58" ht="12.75" customHeight="1" x14ac:dyDescent="0.2">
      <c r="A34" s="34"/>
      <c r="B34" s="24" t="str">
        <f t="shared" si="0"/>
        <v>Je</v>
      </c>
      <c r="C34" s="25">
        <f t="shared" si="22"/>
        <v>45470</v>
      </c>
      <c r="D34" s="51"/>
      <c r="E34" s="116"/>
      <c r="F34" s="52"/>
      <c r="G34" s="53"/>
      <c r="H34" s="54"/>
      <c r="I34" s="55"/>
      <c r="J34" s="54"/>
      <c r="K34" s="55"/>
      <c r="L34" s="40">
        <f t="shared" si="1"/>
        <v>0</v>
      </c>
      <c r="M34" s="41">
        <f t="shared" si="23"/>
        <v>1.2666666666666666</v>
      </c>
      <c r="N34" s="42">
        <f>IF(AND(D34&lt;&gt;"Jour libre 4/5",B34&lt;&gt;"Sa",B34&lt;&gt;"Di"),SUM(N33,Configuration!$H$41),SUM(N33))</f>
        <v>13.299999999999992</v>
      </c>
      <c r="O34" s="49" t="str">
        <f t="shared" si="24"/>
        <v>-</v>
      </c>
      <c r="P34" s="143">
        <f t="shared" si="17"/>
        <v>12.033333333333324</v>
      </c>
      <c r="Q34" s="167">
        <f t="shared" si="18"/>
        <v>0</v>
      </c>
      <c r="R34" s="168">
        <f t="shared" si="18"/>
        <v>0</v>
      </c>
      <c r="S34" s="168">
        <f t="shared" si="18"/>
        <v>0</v>
      </c>
      <c r="T34" s="169">
        <f t="shared" si="18"/>
        <v>0</v>
      </c>
      <c r="U34" s="97">
        <f t="shared" si="2"/>
        <v>0</v>
      </c>
      <c r="V34" s="97">
        <f t="shared" si="3"/>
        <v>0</v>
      </c>
      <c r="W34" s="97">
        <f t="shared" si="4"/>
        <v>0</v>
      </c>
      <c r="X34" s="97">
        <f t="shared" si="5"/>
        <v>0</v>
      </c>
      <c r="Y34" s="209"/>
      <c r="Z34" s="210"/>
      <c r="AA34" s="210"/>
      <c r="AB34" s="128">
        <f>IF(AND(D34="Jour férié semaine",((G34-F34)+(I34-H34)+(K34-J34)=0)),VLOOKUP(D34,Systeemgegevens!$J:$K,2,FALSE),0)</f>
        <v>0</v>
      </c>
      <c r="AC34" s="43">
        <f>IF(AND(NOT(ISERROR(FIND("Congé",D34))),ISERROR(FIND("1/2",D34)),ISERROR(FIND("Synd",D34)),ISERROR(FIND("synd",D34)),(G34-F34+I34-H34+K34-J34)=0),VLOOKUP(D34,Systeemgegevens!$J:$K,2,FALSE),IF(AND(NOT(ISERROR(FIND("1/2 Congé + ",D34))),(G34-F34+I34-H34+K34-J34)=0),VLOOKUP(D34,Systeemgegevens!$J:$K,2,FALSE)/2,IF(AND(NOT(ISERROR(FIND("1/2 Congé",D34))),ISERROR(FIND(" + ",D34)),ISERROR(FIND("1/2 Congé Synd.",D34))),VLOOKUP(D34,Systeemgegevens!$J:$K,2,FALSE),0)))</f>
        <v>0</v>
      </c>
      <c r="AD34" s="43">
        <f>IF(AND(OR(D34="1/2 Congé Synd.",D34="Congé Synd."),((G34-F34)+(I34-H34)+(K34-J34)=0)),VLOOKUP(D34,Systeemgegevens!$J:$K,2,FALSE),IF(AND(D34="1/2 Congé + 1/2 synd.",((G34-F34)+(I34-H34)+(K34-J34)=0)),AC34,0))</f>
        <v>0</v>
      </c>
      <c r="AE34" s="43">
        <f>IF(AND(D34="Jour de pont",((G34-F34)+(I34-H34)+(K34-J34)=0)),VLOOKUP(D34,Systeemgegevens!$J:$K,2,FALSE),0)</f>
        <v>0</v>
      </c>
      <c r="AF34" s="43">
        <f>IF(AND(D34="Jour libre 4/5",AND((G34-F34)+(I34-H34)+(K34-J34)=0)),VLOOKUP(D34,Systeemgegevens!$J:$K,2,FALSE),0)</f>
        <v>0</v>
      </c>
      <c r="AG34" s="118">
        <f>IF(AND(D34&lt;&gt;"",SUM(AB34:AF34)=0,D34&lt;&gt;$AB$4,D34&lt;&gt;$AC$4,D34&lt;&gt;$AE$4,D34&lt;&gt;$AF$4),VLOOKUP(D34,Systeemgegevens!$J:$K,2,FALSE),0)</f>
        <v>0</v>
      </c>
      <c r="AH34" s="119">
        <f t="shared" si="6"/>
        <v>0</v>
      </c>
      <c r="AI34" s="101">
        <f t="shared" si="7"/>
        <v>0</v>
      </c>
      <c r="AJ34" s="118">
        <f t="shared" si="19"/>
        <v>0</v>
      </c>
      <c r="AK34" s="119">
        <f t="shared" si="8"/>
        <v>0</v>
      </c>
      <c r="AL34" s="101">
        <f t="shared" si="9"/>
        <v>0</v>
      </c>
      <c r="AM34" s="43">
        <f t="shared" si="20"/>
        <v>0</v>
      </c>
      <c r="AN34" s="118">
        <f t="shared" si="21"/>
        <v>0</v>
      </c>
      <c r="AO34" s="122">
        <f t="shared" si="10"/>
        <v>0</v>
      </c>
      <c r="AP34" s="107">
        <f t="shared" si="11"/>
        <v>0</v>
      </c>
      <c r="AQ34" s="107">
        <f t="shared" si="12"/>
        <v>0</v>
      </c>
      <c r="AR34" s="123">
        <f t="shared" si="13"/>
        <v>0</v>
      </c>
      <c r="AS34" s="124">
        <f t="shared" si="14"/>
        <v>0</v>
      </c>
      <c r="AT34" s="124">
        <f t="shared" si="15"/>
        <v>0</v>
      </c>
      <c r="AU34" s="124">
        <f t="shared" si="16"/>
        <v>0</v>
      </c>
      <c r="AV34" s="117" t="s">
        <v>6</v>
      </c>
      <c r="AW34" s="129">
        <f>IF(($R$40=AV34)*AND($R$41&lt;&gt;""),VLOOKUP($R$41,'Barèmes police'!$AF$40:$AG$66,2),0)</f>
        <v>0</v>
      </c>
      <c r="AX34" s="129"/>
      <c r="AY34" s="129"/>
      <c r="AZ34" s="154"/>
      <c r="BA34" s="154"/>
      <c r="BB34" s="154"/>
      <c r="BC34" s="154"/>
      <c r="BD34" s="154"/>
      <c r="BE34" s="154"/>
      <c r="BF34" s="154"/>
    </row>
    <row r="35" spans="1:58" ht="12.75" customHeight="1" x14ac:dyDescent="0.2">
      <c r="A35" s="34"/>
      <c r="B35" s="24" t="str">
        <f t="shared" si="0"/>
        <v>Ve</v>
      </c>
      <c r="C35" s="25">
        <f t="shared" si="22"/>
        <v>45471</v>
      </c>
      <c r="D35" s="51"/>
      <c r="E35" s="116"/>
      <c r="F35" s="52"/>
      <c r="G35" s="53"/>
      <c r="H35" s="54"/>
      <c r="I35" s="55"/>
      <c r="J35" s="54"/>
      <c r="K35" s="55"/>
      <c r="L35" s="40">
        <f t="shared" si="1"/>
        <v>0</v>
      </c>
      <c r="M35" s="41">
        <f t="shared" si="23"/>
        <v>1.2666666666666666</v>
      </c>
      <c r="N35" s="42">
        <f>IF(AND(D35&lt;&gt;"Jour libre 4/5",B35&lt;&gt;"Sa",B35&lt;&gt;"Di"),SUM(N34,Configuration!$H$41),SUM(N34))</f>
        <v>13.616666666666658</v>
      </c>
      <c r="O35" s="49" t="str">
        <f t="shared" si="24"/>
        <v>-</v>
      </c>
      <c r="P35" s="143">
        <f t="shared" si="17"/>
        <v>12.349999999999991</v>
      </c>
      <c r="Q35" s="167">
        <f t="shared" si="18"/>
        <v>0</v>
      </c>
      <c r="R35" s="168">
        <f t="shared" si="18"/>
        <v>0</v>
      </c>
      <c r="S35" s="168">
        <f t="shared" si="18"/>
        <v>0</v>
      </c>
      <c r="T35" s="169">
        <f t="shared" si="18"/>
        <v>0</v>
      </c>
      <c r="U35" s="97">
        <f t="shared" si="2"/>
        <v>0</v>
      </c>
      <c r="V35" s="97">
        <f t="shared" si="3"/>
        <v>0</v>
      </c>
      <c r="W35" s="97">
        <f t="shared" si="4"/>
        <v>0</v>
      </c>
      <c r="X35" s="97">
        <f t="shared" si="5"/>
        <v>0</v>
      </c>
      <c r="Y35" s="209"/>
      <c r="Z35" s="210"/>
      <c r="AA35" s="210"/>
      <c r="AB35" s="128">
        <f>IF(AND(D35="Jour férié semaine",((G35-F35)+(I35-H35)+(K35-J35)=0)),VLOOKUP(D35,Systeemgegevens!$J:$K,2,FALSE),0)</f>
        <v>0</v>
      </c>
      <c r="AC35" s="43">
        <f>IF(AND(NOT(ISERROR(FIND("Congé",D35))),ISERROR(FIND("1/2",D35)),ISERROR(FIND("Synd",D35)),ISERROR(FIND("synd",D35)),(G35-F35+I35-H35+K35-J35)=0),VLOOKUP(D35,Systeemgegevens!$J:$K,2,FALSE),IF(AND(NOT(ISERROR(FIND("1/2 Congé + ",D35))),(G35-F35+I35-H35+K35-J35)=0),VLOOKUP(D35,Systeemgegevens!$J:$K,2,FALSE)/2,IF(AND(NOT(ISERROR(FIND("1/2 Congé",D35))),ISERROR(FIND(" + ",D35)),ISERROR(FIND("1/2 Congé Synd.",D35))),VLOOKUP(D35,Systeemgegevens!$J:$K,2,FALSE),0)))</f>
        <v>0</v>
      </c>
      <c r="AD35" s="43">
        <f>IF(AND(OR(D35="1/2 Congé Synd.",D35="Congé Synd."),((G35-F35)+(I35-H35)+(K35-J35)=0)),VLOOKUP(D35,Systeemgegevens!$J:$K,2,FALSE),IF(AND(D35="1/2 Congé + 1/2 synd.",((G35-F35)+(I35-H35)+(K35-J35)=0)),AC35,0))</f>
        <v>0</v>
      </c>
      <c r="AE35" s="43">
        <f>IF(AND(D35="Jour de pont",((G35-F35)+(I35-H35)+(K35-J35)=0)),VLOOKUP(D35,Systeemgegevens!$J:$K,2,FALSE),0)</f>
        <v>0</v>
      </c>
      <c r="AF35" s="43">
        <f>IF(AND(D35="Jour libre 4/5",AND((G35-F35)+(I35-H35)+(K35-J35)=0)),VLOOKUP(D35,Systeemgegevens!$J:$K,2,FALSE),0)</f>
        <v>0</v>
      </c>
      <c r="AG35" s="118">
        <f>IF(AND(D35&lt;&gt;"",SUM(AB35:AF35)=0,D35&lt;&gt;$AB$4,D35&lt;&gt;$AC$4,D35&lt;&gt;$AE$4,D35&lt;&gt;$AF$4),VLOOKUP(D35,Systeemgegevens!$J:$K,2,FALSE),0)</f>
        <v>0</v>
      </c>
      <c r="AH35" s="119">
        <f t="shared" si="6"/>
        <v>0</v>
      </c>
      <c r="AI35" s="101">
        <f t="shared" si="7"/>
        <v>0</v>
      </c>
      <c r="AJ35" s="118">
        <f t="shared" si="19"/>
        <v>0</v>
      </c>
      <c r="AK35" s="119">
        <f t="shared" si="8"/>
        <v>0</v>
      </c>
      <c r="AL35" s="101">
        <f t="shared" si="9"/>
        <v>0</v>
      </c>
      <c r="AM35" s="43">
        <f t="shared" si="20"/>
        <v>0</v>
      </c>
      <c r="AN35" s="118">
        <f t="shared" si="21"/>
        <v>0</v>
      </c>
      <c r="AO35" s="122">
        <f t="shared" si="10"/>
        <v>0</v>
      </c>
      <c r="AP35" s="107">
        <f t="shared" si="11"/>
        <v>0</v>
      </c>
      <c r="AQ35" s="107">
        <f t="shared" si="12"/>
        <v>0</v>
      </c>
      <c r="AR35" s="123">
        <f t="shared" si="13"/>
        <v>0</v>
      </c>
      <c r="AS35" s="124">
        <f t="shared" si="14"/>
        <v>0</v>
      </c>
      <c r="AT35" s="124">
        <f t="shared" si="15"/>
        <v>0</v>
      </c>
      <c r="AU35" s="124">
        <f t="shared" si="16"/>
        <v>0</v>
      </c>
      <c r="AV35" s="117" t="s">
        <v>11</v>
      </c>
      <c r="AW35" s="129">
        <f>IF(($R$40=AV35)*AND($R$41&lt;&gt;""),VLOOKUP($R$41,'Barèmes police'!$K$40:$L$66,2),0)</f>
        <v>0</v>
      </c>
      <c r="AX35" s="129"/>
      <c r="AY35" s="129"/>
      <c r="AZ35" s="154"/>
      <c r="BA35" s="154"/>
      <c r="BB35" s="154"/>
      <c r="BC35" s="154"/>
      <c r="BD35" s="154"/>
      <c r="BE35" s="154"/>
      <c r="BF35" s="154"/>
    </row>
    <row r="36" spans="1:58" ht="12.75" customHeight="1" x14ac:dyDescent="0.2">
      <c r="A36" s="34"/>
      <c r="B36" s="24" t="str">
        <f t="shared" si="0"/>
        <v>Sa</v>
      </c>
      <c r="C36" s="25">
        <f t="shared" si="22"/>
        <v>45472</v>
      </c>
      <c r="D36" s="51"/>
      <c r="E36" s="116"/>
      <c r="F36" s="52"/>
      <c r="G36" s="53"/>
      <c r="H36" s="54"/>
      <c r="I36" s="55"/>
      <c r="J36" s="54"/>
      <c r="K36" s="55"/>
      <c r="L36" s="40">
        <f t="shared" si="1"/>
        <v>0</v>
      </c>
      <c r="M36" s="41">
        <f t="shared" si="23"/>
        <v>1.2666666666666666</v>
      </c>
      <c r="N36" s="42">
        <f>IF(AND(D36&lt;&gt;"Jour libre 4/5",B36&lt;&gt;"Sa",B36&lt;&gt;"Di"),SUM(N35,Configuration!$H$41),SUM(N35))</f>
        <v>13.616666666666658</v>
      </c>
      <c r="O36" s="49" t="str">
        <f t="shared" si="24"/>
        <v>-</v>
      </c>
      <c r="P36" s="143">
        <f t="shared" si="17"/>
        <v>12.349999999999991</v>
      </c>
      <c r="Q36" s="167">
        <f t="shared" si="18"/>
        <v>0</v>
      </c>
      <c r="R36" s="168">
        <f t="shared" si="18"/>
        <v>0</v>
      </c>
      <c r="S36" s="168">
        <f t="shared" si="18"/>
        <v>0</v>
      </c>
      <c r="T36" s="169">
        <f t="shared" si="18"/>
        <v>0</v>
      </c>
      <c r="U36" s="97">
        <f t="shared" si="2"/>
        <v>0</v>
      </c>
      <c r="V36" s="97">
        <f t="shared" si="3"/>
        <v>0</v>
      </c>
      <c r="W36" s="97">
        <f t="shared" si="4"/>
        <v>0</v>
      </c>
      <c r="X36" s="97">
        <f t="shared" si="5"/>
        <v>0</v>
      </c>
      <c r="Y36" s="209"/>
      <c r="Z36" s="210"/>
      <c r="AA36" s="210"/>
      <c r="AB36" s="128">
        <f>IF(AND(D36="Jour férié semaine",((G36-F36)+(I36-H36)+(K36-J36)=0)),VLOOKUP(D36,Systeemgegevens!$J:$K,2,FALSE),0)</f>
        <v>0</v>
      </c>
      <c r="AC36" s="43">
        <f>IF(AND(NOT(ISERROR(FIND("Congé",D36))),ISERROR(FIND("1/2",D36)),ISERROR(FIND("Synd",D36)),ISERROR(FIND("synd",D36)),(G36-F36+I36-H36+K36-J36)=0),VLOOKUP(D36,Systeemgegevens!$J:$K,2,FALSE),IF(AND(NOT(ISERROR(FIND("1/2 Congé + ",D36))),(G36-F36+I36-H36+K36-J36)=0),VLOOKUP(D36,Systeemgegevens!$J:$K,2,FALSE)/2,IF(AND(NOT(ISERROR(FIND("1/2 Congé",D36))),ISERROR(FIND(" + ",D36)),ISERROR(FIND("1/2 Congé Synd.",D36))),VLOOKUP(D36,Systeemgegevens!$J:$K,2,FALSE),0)))</f>
        <v>0</v>
      </c>
      <c r="AD36" s="43">
        <f>IF(AND(OR(D36="1/2 Congé Synd.",D36="Congé Synd."),((G36-F36)+(I36-H36)+(K36-J36)=0)),VLOOKUP(D36,Systeemgegevens!$J:$K,2,FALSE),IF(AND(D36="1/2 Congé + 1/2 synd.",((G36-F36)+(I36-H36)+(K36-J36)=0)),AC36,0))</f>
        <v>0</v>
      </c>
      <c r="AE36" s="43">
        <f>IF(AND(D36="Jour de pont",((G36-F36)+(I36-H36)+(K36-J36)=0)),VLOOKUP(D36,Systeemgegevens!$J:$K,2,FALSE),0)</f>
        <v>0</v>
      </c>
      <c r="AF36" s="43">
        <f>IF(AND(D36="Jour libre 4/5",AND((G36-F36)+(I36-H36)+(K36-J36)=0)),VLOOKUP(D36,Systeemgegevens!$J:$K,2,FALSE),0)</f>
        <v>0</v>
      </c>
      <c r="AG36" s="118">
        <f>IF(AND(D36&lt;&gt;"",SUM(AB36:AF36)=0,D36&lt;&gt;$AB$4,D36&lt;&gt;$AC$4,D36&lt;&gt;$AE$4,D36&lt;&gt;$AF$4),VLOOKUP(D36,Systeemgegevens!$J:$K,2,FALSE),0)</f>
        <v>0</v>
      </c>
      <c r="AH36" s="119">
        <f t="shared" si="6"/>
        <v>0</v>
      </c>
      <c r="AI36" s="101">
        <f t="shared" si="7"/>
        <v>0</v>
      </c>
      <c r="AJ36" s="118">
        <f t="shared" si="19"/>
        <v>0</v>
      </c>
      <c r="AK36" s="119">
        <f t="shared" si="8"/>
        <v>0</v>
      </c>
      <c r="AL36" s="101">
        <f t="shared" si="9"/>
        <v>0</v>
      </c>
      <c r="AM36" s="43">
        <f t="shared" si="20"/>
        <v>0</v>
      </c>
      <c r="AN36" s="118">
        <f t="shared" si="21"/>
        <v>0</v>
      </c>
      <c r="AO36" s="122">
        <f t="shared" si="10"/>
        <v>0</v>
      </c>
      <c r="AP36" s="107">
        <f t="shared" si="11"/>
        <v>0</v>
      </c>
      <c r="AQ36" s="107">
        <f t="shared" si="12"/>
        <v>0</v>
      </c>
      <c r="AR36" s="123">
        <f t="shared" si="13"/>
        <v>0</v>
      </c>
      <c r="AS36" s="124">
        <f t="shared" si="14"/>
        <v>0</v>
      </c>
      <c r="AT36" s="124">
        <f t="shared" si="15"/>
        <v>0</v>
      </c>
      <c r="AU36" s="124">
        <f t="shared" si="16"/>
        <v>0</v>
      </c>
      <c r="AV36" s="117" t="s">
        <v>2</v>
      </c>
      <c r="AW36" s="129">
        <f>IF(($R$40=AV36)*AND($R$41&lt;&gt;""),VLOOKUP($R$41,'Barèmes police'!$AR$40:$AS$66,2),0)</f>
        <v>0</v>
      </c>
      <c r="AX36" s="129"/>
      <c r="AY36" s="129"/>
      <c r="AZ36" s="154"/>
      <c r="BA36" s="154"/>
      <c r="BB36" s="154"/>
      <c r="BC36" s="154"/>
      <c r="BD36" s="154"/>
      <c r="BE36" s="154"/>
      <c r="BF36" s="154"/>
    </row>
    <row r="37" spans="1:58" ht="12.75" customHeight="1" x14ac:dyDescent="0.2">
      <c r="A37" s="34"/>
      <c r="B37" s="196" t="str">
        <f t="shared" si="0"/>
        <v>Di</v>
      </c>
      <c r="C37" s="25">
        <f t="shared" si="22"/>
        <v>45473</v>
      </c>
      <c r="D37" s="197"/>
      <c r="E37" s="56"/>
      <c r="F37" s="149"/>
      <c r="G37" s="150"/>
      <c r="H37" s="57"/>
      <c r="I37" s="58"/>
      <c r="J37" s="57"/>
      <c r="K37" s="58"/>
      <c r="L37" s="44">
        <f t="shared" si="1"/>
        <v>0</v>
      </c>
      <c r="M37" s="46">
        <f t="shared" si="23"/>
        <v>1.2666666666666666</v>
      </c>
      <c r="N37" s="198">
        <f>IF(AND(D37&lt;&gt;"Jour libre 4/5",B37&lt;&gt;"Sa",B37&lt;&gt;"Di"),SUM(N36,Configuration!$H$41),SUM(N36))</f>
        <v>13.616666666666658</v>
      </c>
      <c r="O37" s="50" t="str">
        <f t="shared" si="24"/>
        <v>-</v>
      </c>
      <c r="P37" s="142">
        <f t="shared" si="17"/>
        <v>12.349999999999991</v>
      </c>
      <c r="Q37" s="170">
        <f t="shared" si="18"/>
        <v>0</v>
      </c>
      <c r="R37" s="171">
        <f t="shared" si="18"/>
        <v>0</v>
      </c>
      <c r="S37" s="171">
        <f t="shared" si="18"/>
        <v>0</v>
      </c>
      <c r="T37" s="172">
        <f t="shared" si="18"/>
        <v>0</v>
      </c>
      <c r="U37" s="98">
        <f t="shared" si="2"/>
        <v>0</v>
      </c>
      <c r="V37" s="98">
        <f t="shared" si="3"/>
        <v>0</v>
      </c>
      <c r="W37" s="98">
        <f t="shared" si="4"/>
        <v>0</v>
      </c>
      <c r="X37" s="98">
        <f t="shared" si="5"/>
        <v>0</v>
      </c>
      <c r="Y37" s="211"/>
      <c r="Z37" s="212"/>
      <c r="AA37" s="212"/>
      <c r="AB37" s="128">
        <f>IF(AND(D37="Jour férié semaine",((G37-F37)+(I37-H37)+(K37-J37)=0)),VLOOKUP(D37,Systeemgegevens!$J:$K,2,FALSE),0)</f>
        <v>0</v>
      </c>
      <c r="AC37" s="43">
        <f>IF(AND(NOT(ISERROR(FIND("Congé",D37))),ISERROR(FIND("1/2",D37)),ISERROR(FIND("Synd",D37)),ISERROR(FIND("synd",D37)),(G37-F37+I37-H37+K37-J37)=0),VLOOKUP(D37,Systeemgegevens!$J:$K,2,FALSE),IF(AND(NOT(ISERROR(FIND("1/2 Congé + ",D37))),(G37-F37+I37-H37+K37-J37)=0),VLOOKUP(D37,Systeemgegevens!$J:$K,2,FALSE)/2,IF(AND(NOT(ISERROR(FIND("1/2 Congé",D37))),ISERROR(FIND(" + ",D37)),ISERROR(FIND("1/2 Congé Synd.",D37))),VLOOKUP(D37,Systeemgegevens!$J:$K,2,FALSE),0)))</f>
        <v>0</v>
      </c>
      <c r="AD37" s="43">
        <f>IF(AND(OR(D37="1/2 Congé Synd.",D37="Congé Synd."),((G37-F37)+(I37-H37)+(K37-J37)=0)),VLOOKUP(D37,Systeemgegevens!$J:$K,2,FALSE),IF(AND(D37="1/2 Congé + 1/2 synd.",((G37-F37)+(I37-H37)+(K37-J37)=0)),AC37,0))</f>
        <v>0</v>
      </c>
      <c r="AE37" s="43">
        <f>IF(AND(D37="Jour de pont",((G37-F37)+(I37-H37)+(K37-J37)=0)),VLOOKUP(D37,Systeemgegevens!$J:$K,2,FALSE),0)</f>
        <v>0</v>
      </c>
      <c r="AF37" s="43">
        <f>IF(AND(D37="Jour libre 4/5",AND((G37-F37)+(I37-H37)+(K37-J37)=0)),VLOOKUP(D37,Systeemgegevens!$J:$K,2,FALSE),0)</f>
        <v>0</v>
      </c>
      <c r="AG37" s="118">
        <f>IF(AND(D37&lt;&gt;"",SUM(AB37:AF37)=0,D37&lt;&gt;$AB$4,D37&lt;&gt;$AC$4,D37&lt;&gt;$AE$4,D37&lt;&gt;$AF$4),VLOOKUP(D37,Systeemgegevens!$J:$K,2,FALSE),0)</f>
        <v>0</v>
      </c>
      <c r="AH37" s="119">
        <f t="shared" si="6"/>
        <v>0</v>
      </c>
      <c r="AI37" s="101">
        <f t="shared" si="7"/>
        <v>0</v>
      </c>
      <c r="AJ37" s="118">
        <f t="shared" si="19"/>
        <v>0</v>
      </c>
      <c r="AK37" s="119">
        <f t="shared" si="8"/>
        <v>0</v>
      </c>
      <c r="AL37" s="101">
        <f t="shared" si="9"/>
        <v>0</v>
      </c>
      <c r="AM37" s="43">
        <f t="shared" si="20"/>
        <v>0</v>
      </c>
      <c r="AN37" s="118">
        <f t="shared" si="21"/>
        <v>0</v>
      </c>
      <c r="AO37" s="122">
        <f t="shared" si="10"/>
        <v>0</v>
      </c>
      <c r="AP37" s="107">
        <f t="shared" si="11"/>
        <v>0</v>
      </c>
      <c r="AQ37" s="107">
        <f t="shared" si="12"/>
        <v>0</v>
      </c>
      <c r="AR37" s="123">
        <f t="shared" si="13"/>
        <v>0</v>
      </c>
      <c r="AS37" s="124">
        <f t="shared" si="14"/>
        <v>0</v>
      </c>
      <c r="AT37" s="124">
        <f t="shared" si="15"/>
        <v>0</v>
      </c>
      <c r="AU37" s="124">
        <f t="shared" si="16"/>
        <v>0</v>
      </c>
      <c r="AV37" s="117" t="s">
        <v>269</v>
      </c>
      <c r="AW37" s="129">
        <f>IF(($R$40=AV37)*AND($R$41&lt;&gt;""),VLOOKUP($R$41,'Barèmes police'!$AU$40:$AV$66,2),0)</f>
        <v>0</v>
      </c>
      <c r="AX37" s="129"/>
      <c r="AY37" s="129"/>
      <c r="AZ37" s="154"/>
      <c r="BA37" s="154"/>
      <c r="BB37" s="154"/>
      <c r="BC37" s="154"/>
      <c r="BD37" s="154"/>
      <c r="BE37" s="154"/>
      <c r="BF37" s="154"/>
    </row>
    <row r="38" spans="1:58" ht="12.75" customHeight="1" x14ac:dyDescent="0.2">
      <c r="C38" s="281"/>
      <c r="AX38" s="129"/>
      <c r="AY38" s="129"/>
    </row>
    <row r="39" spans="1:58" ht="12.75" customHeight="1" x14ac:dyDescent="0.2">
      <c r="J39" s="215"/>
      <c r="K39" s="215"/>
      <c r="L39" s="215"/>
      <c r="M39" s="216"/>
      <c r="N39" s="215"/>
      <c r="O39" s="217"/>
      <c r="P39" s="215"/>
      <c r="Q39" s="215"/>
      <c r="R39" s="215"/>
      <c r="S39" s="215"/>
      <c r="T39" s="215"/>
      <c r="U39" s="217"/>
      <c r="V39" s="217"/>
      <c r="W39" s="416" t="s">
        <v>212</v>
      </c>
      <c r="X39" s="417"/>
      <c r="Y39" s="23"/>
      <c r="Z39" s="218"/>
      <c r="AA39" s="218"/>
      <c r="AV39" s="117" t="s">
        <v>8</v>
      </c>
      <c r="AW39" s="129">
        <f>IF(($R$40=AV39)*AND($R$41&lt;&gt;""),VLOOKUP($R$41,'Barèmes police'!$Z$40:$AA$66,2),0)</f>
        <v>0</v>
      </c>
      <c r="AX39" s="129"/>
      <c r="AY39" s="129"/>
    </row>
    <row r="40" spans="1:58" ht="12.75" customHeight="1" x14ac:dyDescent="0.2">
      <c r="B40" s="475" t="s">
        <v>201</v>
      </c>
      <c r="C40" s="414"/>
      <c r="D40" s="398"/>
      <c r="E40" s="397" t="s">
        <v>202</v>
      </c>
      <c r="F40" s="398"/>
      <c r="G40" s="414" t="s">
        <v>243</v>
      </c>
      <c r="H40" s="415"/>
      <c r="J40" s="407" t="s">
        <v>236</v>
      </c>
      <c r="K40" s="408"/>
      <c r="L40" s="408"/>
      <c r="M40" s="408"/>
      <c r="N40" s="408"/>
      <c r="O40" s="219"/>
      <c r="P40" s="220"/>
      <c r="Q40" s="220"/>
      <c r="R40" s="405" t="s">
        <v>36</v>
      </c>
      <c r="S40" s="406"/>
      <c r="T40" s="402" t="s">
        <v>213</v>
      </c>
      <c r="U40" s="403"/>
      <c r="V40" s="404"/>
      <c r="W40" s="221">
        <v>1</v>
      </c>
      <c r="X40" s="222" t="s">
        <v>54</v>
      </c>
      <c r="Y40" s="23"/>
      <c r="Z40" s="383" t="s">
        <v>75</v>
      </c>
      <c r="AA40" s="384"/>
      <c r="AV40" s="117" t="s">
        <v>5</v>
      </c>
      <c r="AW40" s="129">
        <f>IF(($R$40=AV40)*AND($R$41&lt;&gt;""),VLOOKUP($R$41,'Barèmes police'!$AI$40:$AJ$66,2),0)</f>
        <v>0</v>
      </c>
      <c r="AX40" s="129"/>
      <c r="AY40" s="129"/>
    </row>
    <row r="41" spans="1:58" ht="12.75" customHeight="1" x14ac:dyDescent="0.2">
      <c r="B41" s="476" t="s">
        <v>205</v>
      </c>
      <c r="C41" s="477"/>
      <c r="D41" s="478"/>
      <c r="E41" s="412">
        <f>Mai!E46</f>
        <v>34</v>
      </c>
      <c r="F41" s="413"/>
      <c r="G41" s="399">
        <f>Mai!G46</f>
        <v>10.766666666666666</v>
      </c>
      <c r="H41" s="399"/>
      <c r="J41" s="223"/>
      <c r="K41" s="224"/>
      <c r="L41" s="224"/>
      <c r="M41" s="224"/>
      <c r="N41" s="224"/>
      <c r="O41" s="225"/>
      <c r="P41" s="226"/>
      <c r="Q41" s="226"/>
      <c r="R41" s="464">
        <v>0</v>
      </c>
      <c r="S41" s="465"/>
      <c r="T41" s="466">
        <f>SUM(AW8:AW201)</f>
        <v>14703.88</v>
      </c>
      <c r="U41" s="467"/>
      <c r="V41" s="468"/>
      <c r="W41" s="213">
        <v>13409.11</v>
      </c>
      <c r="X41" s="214">
        <v>12735.61</v>
      </c>
      <c r="Y41" s="23"/>
      <c r="Z41" s="457">
        <v>2.0398999999999998</v>
      </c>
      <c r="AA41" s="458"/>
      <c r="AV41" s="117" t="s">
        <v>10</v>
      </c>
      <c r="AW41" s="129">
        <f>IF(($R$40=AV41)*AND($R$41&lt;&gt;""),VLOOKUP($R$41,'Barèmes police'!$N$40:$O$66,2),0)</f>
        <v>0</v>
      </c>
      <c r="AX41" s="129"/>
      <c r="AY41" s="129"/>
    </row>
    <row r="42" spans="1:58" ht="12.75" customHeight="1" x14ac:dyDescent="0.2">
      <c r="B42" s="476" t="s">
        <v>203</v>
      </c>
      <c r="C42" s="477"/>
      <c r="D42" s="478"/>
      <c r="E42" s="459">
        <v>0</v>
      </c>
      <c r="F42" s="460"/>
      <c r="G42" s="463">
        <f>E42*Configuration!$H$41</f>
        <v>0</v>
      </c>
      <c r="H42" s="463"/>
      <c r="J42" s="227" t="s">
        <v>215</v>
      </c>
      <c r="K42" s="228"/>
      <c r="L42" s="229"/>
      <c r="M42" s="230">
        <f>IF(MINUTE(SUM(U8:U38))&gt;=30,SUM(U8:U38)+(TIME(1,0,0))-TIME(0,MINUTE(SUM(U8:U38)),0),SUM(U8:U38)-TIME(0,MINUTE(SUM(U8:U38)),0))</f>
        <v>0</v>
      </c>
      <c r="N42" s="219" t="s">
        <v>190</v>
      </c>
      <c r="O42" s="231"/>
      <c r="P42" s="220"/>
      <c r="Q42" s="220"/>
      <c r="R42" s="232"/>
      <c r="S42" s="354">
        <f>IF($R$2="Oui",(M42*AK43*24),0)</f>
        <v>0</v>
      </c>
      <c r="T42" s="355"/>
      <c r="U42" s="355"/>
      <c r="V42" s="233" t="s">
        <v>55</v>
      </c>
      <c r="W42" s="234">
        <f>IF($R$3="Oui",M42*AK48*24,0)</f>
        <v>0</v>
      </c>
      <c r="X42" s="235" t="s">
        <v>55</v>
      </c>
      <c r="Y42" s="23"/>
      <c r="Z42" s="218"/>
      <c r="AA42" s="218"/>
      <c r="AB42" s="352" t="s">
        <v>66</v>
      </c>
      <c r="AC42" s="353"/>
      <c r="AD42" s="353"/>
      <c r="AE42" s="130">
        <f>T41*Z41</f>
        <v>29994.444811999994</v>
      </c>
      <c r="AG42" s="352" t="s">
        <v>64</v>
      </c>
      <c r="AH42" s="353"/>
      <c r="AI42" s="353"/>
      <c r="AJ42" s="353"/>
      <c r="AK42" s="130">
        <f>T41*Z41/1850</f>
        <v>16.213213411891889</v>
      </c>
      <c r="AM42" s="389" t="s">
        <v>163</v>
      </c>
      <c r="AN42" s="390"/>
      <c r="AO42" s="390"/>
      <c r="AP42" s="390"/>
      <c r="AQ42" s="390"/>
      <c r="AR42" s="127"/>
      <c r="AV42" s="18" t="s">
        <v>4</v>
      </c>
      <c r="AW42" s="129">
        <f>IF(($R$40=AV42)*AND($R$41&lt;&gt;""),VLOOKUP($R$41,'Barèmes police'!$AL$40:$AM$66,2),0)</f>
        <v>0</v>
      </c>
      <c r="AX42" s="129"/>
      <c r="AY42" s="129"/>
    </row>
    <row r="43" spans="1:58" ht="12.75" customHeight="1" x14ac:dyDescent="0.2">
      <c r="B43" s="476" t="s">
        <v>260</v>
      </c>
      <c r="C43" s="477"/>
      <c r="D43" s="478"/>
      <c r="E43" s="412">
        <f>SUM(AU8:AU38)</f>
        <v>0</v>
      </c>
      <c r="F43" s="413"/>
      <c r="G43" s="399">
        <f>SUM(AU8:AU38)*Configuration!H41</f>
        <v>0</v>
      </c>
      <c r="H43" s="399"/>
      <c r="J43" s="236" t="s">
        <v>217</v>
      </c>
      <c r="K43" s="237"/>
      <c r="L43" s="238"/>
      <c r="M43" s="239">
        <f>IF(MINUTE(SUM(V8:V38))&gt;=30,SUM(V8:V38)+(TIME(1,0,0))-TIME(0,MINUTE(SUM(V8:V38)),0),SUM(V8:V38)-TIME(0,MINUTE(SUM(V8:V38)),0))</f>
        <v>0</v>
      </c>
      <c r="N43" s="225" t="s">
        <v>190</v>
      </c>
      <c r="O43" s="240"/>
      <c r="P43" s="226"/>
      <c r="Q43" s="226"/>
      <c r="R43" s="232"/>
      <c r="S43" s="354">
        <f>IF($R$2="Oui",M43*AK44*24,0)</f>
        <v>0</v>
      </c>
      <c r="T43" s="355"/>
      <c r="U43" s="355"/>
      <c r="V43" s="233" t="s">
        <v>55</v>
      </c>
      <c r="W43" s="23"/>
      <c r="X43" s="241"/>
      <c r="Y43" s="23"/>
      <c r="Z43" s="377" t="s">
        <v>211</v>
      </c>
      <c r="AA43" s="378"/>
      <c r="AB43" s="358" t="s">
        <v>67</v>
      </c>
      <c r="AC43" s="359"/>
      <c r="AD43" s="359"/>
      <c r="AE43" s="121">
        <f>AE42*0.075</f>
        <v>2249.5833608999997</v>
      </c>
      <c r="AG43" s="358" t="s">
        <v>65</v>
      </c>
      <c r="AH43" s="359"/>
      <c r="AI43" s="359"/>
      <c r="AJ43" s="359"/>
      <c r="AK43" s="136">
        <f>(AK42*0.9645)*AE48</f>
        <v>9.3231635529859105</v>
      </c>
      <c r="AM43" s="391" t="str">
        <f>IF(Configuration!$H$30="Dagen","Aantal dagen beschikbaar:","Aantal uren beschikbaar:")</f>
        <v>Aantal uren beschikbaar:</v>
      </c>
      <c r="AN43" s="392"/>
      <c r="AO43" s="392"/>
      <c r="AP43" s="392"/>
      <c r="AQ43" s="393">
        <f>IF(Configuration!H30="Dagen",Configuration!H45,Configuration!H45)</f>
        <v>99999</v>
      </c>
      <c r="AR43" s="394"/>
      <c r="AV43" s="18" t="s">
        <v>9</v>
      </c>
      <c r="AW43" s="129">
        <f>IF(($R$40=AV43)*AND($R$41&lt;&gt;""),VLOOKUP($R$41,'Barèmes police'!$Q$40:$R$66,2),0)</f>
        <v>0</v>
      </c>
      <c r="AX43" s="129"/>
      <c r="AY43" s="129"/>
    </row>
    <row r="44" spans="1:58" ht="12.75" customHeight="1" x14ac:dyDescent="0.2">
      <c r="B44" s="476" t="s">
        <v>204</v>
      </c>
      <c r="C44" s="477"/>
      <c r="D44" s="478"/>
      <c r="E44" s="412">
        <f>SUM(AC8:AC38)/Configuration!H41</f>
        <v>0</v>
      </c>
      <c r="F44" s="413"/>
      <c r="G44" s="399">
        <f>SUM(AC8:AC38)</f>
        <v>0</v>
      </c>
      <c r="H44" s="399"/>
      <c r="J44" s="236" t="s">
        <v>216</v>
      </c>
      <c r="K44" s="237"/>
      <c r="L44" s="238"/>
      <c r="M44" s="239">
        <f>IF(MINUTE(SUM(W8:W38))&gt;=30,SUM(W8:W38)+(TIME(1,0,0))-TIME(0,MINUTE(SUM(W8:W38)),0),SUM(W8:W38)-TIME(0,MINUTE(SUM(W8:W38)),0))</f>
        <v>0</v>
      </c>
      <c r="N44" s="237" t="s">
        <v>190</v>
      </c>
      <c r="O44" s="225"/>
      <c r="P44" s="225"/>
      <c r="Q44" s="225"/>
      <c r="R44" s="233"/>
      <c r="S44" s="354">
        <f>IF($R$2="Oui",M44*AK45*24,0)</f>
        <v>0</v>
      </c>
      <c r="T44" s="355"/>
      <c r="U44" s="355"/>
      <c r="V44" s="233" t="s">
        <v>55</v>
      </c>
      <c r="W44" s="234"/>
      <c r="X44" s="235"/>
      <c r="Y44" s="23"/>
      <c r="Z44" s="379"/>
      <c r="AA44" s="380"/>
      <c r="AB44" s="358" t="s">
        <v>68</v>
      </c>
      <c r="AC44" s="359"/>
      <c r="AD44" s="359"/>
      <c r="AE44" s="121">
        <f>AE42*0.0355</f>
        <v>1064.8027908259996</v>
      </c>
      <c r="AG44" s="358" t="s">
        <v>77</v>
      </c>
      <c r="AH44" s="359"/>
      <c r="AI44" s="359"/>
      <c r="AJ44" s="359"/>
      <c r="AK44" s="136">
        <f>AK43*0.2</f>
        <v>1.8646327105971823</v>
      </c>
      <c r="AM44" s="391" t="str">
        <f>IF(Configuration!$H$30="Dagen","Opgenomen Congé Synd.dagen:","Opgenomen Congé Synd.uren:")</f>
        <v>Opgenomen Congé Synd.uren:</v>
      </c>
      <c r="AN44" s="392"/>
      <c r="AO44" s="392"/>
      <c r="AP44" s="392"/>
      <c r="AQ44" s="469">
        <f>IF(Configuration!$H$30="Dagen",SUM(AD8:AD38)/Configuration!H41,SUM(AD8:AD38))</f>
        <v>0</v>
      </c>
      <c r="AR44" s="470"/>
      <c r="AV44" s="18" t="s">
        <v>3</v>
      </c>
      <c r="AW44" s="129">
        <f>IF(($R$40=AV44)*AND($R$41&lt;&gt;""),VLOOKUP($R$41,'Barèmes police'!$AO$40:$AP$66,2),0)</f>
        <v>0</v>
      </c>
    </row>
    <row r="45" spans="1:58" ht="12.75" customHeight="1" x14ac:dyDescent="0.2">
      <c r="B45" s="409" t="s">
        <v>254</v>
      </c>
      <c r="C45" s="410"/>
      <c r="D45" s="411"/>
      <c r="E45" s="461">
        <f>E41+E42+E43-E44</f>
        <v>34</v>
      </c>
      <c r="F45" s="462"/>
      <c r="G45" s="400">
        <f>G41+G42+G43-G44</f>
        <v>10.766666666666666</v>
      </c>
      <c r="H45" s="401"/>
      <c r="J45" s="236" t="s">
        <v>218</v>
      </c>
      <c r="K45" s="237"/>
      <c r="L45" s="238"/>
      <c r="M45" s="239">
        <f>IF(MINUTE(SUM(X8:X38))&gt;=30,SUM(X8:X38)+(TIME(1,0,0))-TIME(0,MINUTE(SUM(X8:X38)),0),SUM(X8:X38)-TIME(0,MINUTE(SUM(X8:X38)),0))</f>
        <v>0</v>
      </c>
      <c r="N45" s="237" t="s">
        <v>190</v>
      </c>
      <c r="O45" s="225"/>
      <c r="P45" s="225"/>
      <c r="Q45" s="225"/>
      <c r="R45" s="233"/>
      <c r="S45" s="242"/>
      <c r="T45" s="242"/>
      <c r="U45" s="242"/>
      <c r="V45" s="243"/>
      <c r="W45" s="234">
        <f>IF($R$3="Oui",M45*AK51*24,0)</f>
        <v>0</v>
      </c>
      <c r="X45" s="235" t="s">
        <v>55</v>
      </c>
      <c r="Y45" s="23"/>
      <c r="Z45" s="381">
        <f>AE47</f>
        <v>0.40380000000000005</v>
      </c>
      <c r="AA45" s="382"/>
      <c r="AB45" s="348" t="s">
        <v>69</v>
      </c>
      <c r="AC45" s="349"/>
      <c r="AD45" s="349"/>
      <c r="AE45" s="132">
        <f>AE42-AE43-AE44</f>
        <v>26680.058660273993</v>
      </c>
      <c r="AG45" s="348" t="s">
        <v>78</v>
      </c>
      <c r="AH45" s="349"/>
      <c r="AI45" s="349"/>
      <c r="AJ45" s="349"/>
      <c r="AK45" s="132">
        <f>AK43*0.35</f>
        <v>3.2631072435450683</v>
      </c>
      <c r="AM45" s="375" t="str">
        <f>IF(Configuration!$H$30="Dagen","Resterend aantal dagen:","Resterend aantal uren:")</f>
        <v>Resterend aantal uren:</v>
      </c>
      <c r="AN45" s="376"/>
      <c r="AO45" s="376"/>
      <c r="AP45" s="376"/>
      <c r="AQ45" s="366">
        <f>AQ43-AQ44</f>
        <v>99999</v>
      </c>
      <c r="AR45" s="367"/>
      <c r="AV45" s="18" t="s">
        <v>1</v>
      </c>
      <c r="AW45" s="129">
        <f>IF(($R$40=AV45)*AND($R$41&lt;&gt;""),VLOOKUP($R$41,'Barèmes police'!$T$40:$U$69,2),0)</f>
        <v>0</v>
      </c>
    </row>
    <row r="46" spans="1:58" ht="12.75" customHeight="1" x14ac:dyDescent="0.2">
      <c r="B46" s="23"/>
      <c r="C46" s="23"/>
      <c r="D46" s="23"/>
      <c r="E46" s="23"/>
      <c r="F46" s="23"/>
      <c r="G46" s="23"/>
      <c r="J46" s="236" t="s">
        <v>219</v>
      </c>
      <c r="K46" s="237"/>
      <c r="L46" s="238"/>
      <c r="M46" s="244">
        <f>COUNTIF($Q$8:$Q$37,"1")</f>
        <v>0</v>
      </c>
      <c r="N46" s="225"/>
      <c r="O46" s="362" t="s">
        <v>223</v>
      </c>
      <c r="P46" s="363"/>
      <c r="Q46" s="363"/>
      <c r="R46" s="245">
        <f>COUNTIF($Q$8:$Q$37,"2")</f>
        <v>0</v>
      </c>
      <c r="S46" s="354">
        <f>IF($R$2="Oui",(M46*AE51*Z41+(R46*Z41*2.48)),0)</f>
        <v>0</v>
      </c>
      <c r="T46" s="355"/>
      <c r="U46" s="355"/>
      <c r="V46" s="233" t="s">
        <v>55</v>
      </c>
      <c r="W46" s="234">
        <f>IF($R$3="Oui",(M46*AE51*Z41+(R46*AE51*6.2)),0)</f>
        <v>0</v>
      </c>
      <c r="X46" s="235" t="s">
        <v>55</v>
      </c>
      <c r="Y46" s="23"/>
      <c r="Z46" s="218"/>
      <c r="AA46" s="218"/>
      <c r="AV46" s="18" t="s">
        <v>0</v>
      </c>
      <c r="AW46" s="129">
        <f>IF(($R$40=AV46)*AND($R$41&lt;&gt;""),VLOOKUP($R$41,'Barèmes police'!$W$40:$X$69,2),0)</f>
        <v>0</v>
      </c>
    </row>
    <row r="47" spans="1:58" ht="12.75" customHeight="1" x14ac:dyDescent="0.2">
      <c r="B47" s="368" t="s">
        <v>206</v>
      </c>
      <c r="C47" s="369"/>
      <c r="D47" s="369"/>
      <c r="E47" s="369"/>
      <c r="F47" s="370" t="s">
        <v>179</v>
      </c>
      <c r="G47" s="371"/>
      <c r="J47" s="236" t="s">
        <v>220</v>
      </c>
      <c r="K47" s="237"/>
      <c r="L47" s="238"/>
      <c r="M47" s="244">
        <f>COUNTIF($R$8:$R$37,"1")</f>
        <v>0</v>
      </c>
      <c r="N47" s="225"/>
      <c r="O47" s="362" t="s">
        <v>224</v>
      </c>
      <c r="P47" s="363"/>
      <c r="Q47" s="363"/>
      <c r="R47" s="245">
        <f>COUNTIF($R$8:$R$37,"2")</f>
        <v>0</v>
      </c>
      <c r="S47" s="354">
        <f>IF($R$2="Oui",(M47*AE52*Z41+(R47*Z41*6.2)),0)</f>
        <v>0</v>
      </c>
      <c r="T47" s="355"/>
      <c r="U47" s="355"/>
      <c r="V47" s="233" t="s">
        <v>55</v>
      </c>
      <c r="W47" s="234">
        <f>IF($R$3="Oui",(M47*AE52*Z41+(R47*AE52*6.2)),0)</f>
        <v>0</v>
      </c>
      <c r="X47" s="235" t="s">
        <v>55</v>
      </c>
      <c r="Y47" s="23"/>
      <c r="Z47" s="383" t="s">
        <v>258</v>
      </c>
      <c r="AA47" s="384"/>
      <c r="AB47" s="352" t="s">
        <v>70</v>
      </c>
      <c r="AC47" s="353"/>
      <c r="AD47" s="353"/>
      <c r="AE47" s="134">
        <f>VLOOKUP(AE45,Systeemgegevens!C3:E14,3)/100</f>
        <v>0.40380000000000005</v>
      </c>
      <c r="AG47" s="352" t="s">
        <v>72</v>
      </c>
      <c r="AH47" s="353"/>
      <c r="AI47" s="353"/>
      <c r="AJ47" s="353"/>
      <c r="AK47" s="133">
        <f>X41*1.2434/1850</f>
        <v>8.5597067427027032</v>
      </c>
      <c r="AV47" s="18" t="s">
        <v>61</v>
      </c>
      <c r="AW47" s="129">
        <f>IF(($R$40=AV47)*AND($R$41&lt;&gt;""),VLOOKUP($R$41,'Barèmes police'!$BM$4:$BN$39,2),0)</f>
        <v>0</v>
      </c>
    </row>
    <row r="48" spans="1:58" s="141" customFormat="1" ht="12.75" customHeight="1" x14ac:dyDescent="0.2">
      <c r="A48" s="17"/>
      <c r="B48" s="17"/>
      <c r="C48" s="17"/>
      <c r="D48" s="17"/>
      <c r="E48" s="17"/>
      <c r="F48" s="17"/>
      <c r="G48" s="17"/>
      <c r="H48" s="17"/>
      <c r="I48" s="17"/>
      <c r="J48" s="236" t="s">
        <v>221</v>
      </c>
      <c r="K48" s="237"/>
      <c r="L48" s="238"/>
      <c r="M48" s="244">
        <f>COUNTIF($S$8:$S$37, "1")</f>
        <v>0</v>
      </c>
      <c r="N48" s="225"/>
      <c r="O48" s="362" t="s">
        <v>225</v>
      </c>
      <c r="P48" s="363"/>
      <c r="Q48" s="363"/>
      <c r="R48" s="245">
        <f>COUNTIF($S$8:$S$37, "2")</f>
        <v>0</v>
      </c>
      <c r="S48" s="354">
        <f>IF($R$2="Oui",(M48*AE53*Z41+(R48*Z41*6.2)),0)</f>
        <v>0</v>
      </c>
      <c r="T48" s="355"/>
      <c r="U48" s="355"/>
      <c r="V48" s="233" t="s">
        <v>55</v>
      </c>
      <c r="W48" s="234">
        <f>IF($R$3="Oui",(M48*AE53*Z41+(R48*AE53*6.2)),0)</f>
        <v>0</v>
      </c>
      <c r="X48" s="235" t="s">
        <v>55</v>
      </c>
      <c r="Y48" s="23"/>
      <c r="Z48" s="364">
        <v>0.23</v>
      </c>
      <c r="AA48" s="365"/>
      <c r="AB48" s="348" t="s">
        <v>71</v>
      </c>
      <c r="AC48" s="349"/>
      <c r="AD48" s="349"/>
      <c r="AE48" s="135">
        <f>1-AE47</f>
        <v>0.59619999999999995</v>
      </c>
      <c r="AG48" s="358" t="s">
        <v>73</v>
      </c>
      <c r="AH48" s="359"/>
      <c r="AI48" s="359"/>
      <c r="AJ48" s="359"/>
      <c r="AK48" s="121">
        <f>AK47*0.9645*AE48*1.45</f>
        <v>7.1370886606880939</v>
      </c>
      <c r="AV48" s="18" t="s">
        <v>263</v>
      </c>
      <c r="AW48" s="218">
        <f>IF(($R$40=AV48)*AND($R$41&lt;&gt;""),VLOOKUP($R$41,'Barèmes police'!$AX$40:$AY$70,2),0)</f>
        <v>0</v>
      </c>
      <c r="AZ48" s="17"/>
      <c r="BA48" s="17"/>
      <c r="BB48" s="17"/>
      <c r="BC48" s="17"/>
      <c r="BD48" s="17"/>
      <c r="BE48" s="17"/>
      <c r="BF48" s="17"/>
    </row>
    <row r="49" spans="1:58" s="141" customFormat="1" ht="12.75" customHeight="1" x14ac:dyDescent="0.2">
      <c r="A49" s="17"/>
      <c r="B49" s="372" t="s">
        <v>207</v>
      </c>
      <c r="C49" s="373"/>
      <c r="D49" s="373"/>
      <c r="E49" s="373"/>
      <c r="F49" s="373"/>
      <c r="G49" s="374"/>
      <c r="H49" s="17"/>
      <c r="I49" s="17"/>
      <c r="J49" s="236" t="s">
        <v>222</v>
      </c>
      <c r="K49" s="237"/>
      <c r="L49" s="238"/>
      <c r="M49" s="244">
        <f>COUNTIF($T$8:$T$37,"1")</f>
        <v>0</v>
      </c>
      <c r="N49" s="225"/>
      <c r="O49" s="362" t="s">
        <v>226</v>
      </c>
      <c r="P49" s="363"/>
      <c r="Q49" s="363"/>
      <c r="R49" s="245">
        <f>COUNTIF($T$8:$T$37,"2")</f>
        <v>0</v>
      </c>
      <c r="S49" s="354">
        <f>IF($R$2="Oui",(M49*AE54*Z41+(R49*Z41*3.48)),0)</f>
        <v>0</v>
      </c>
      <c r="T49" s="355"/>
      <c r="U49" s="355"/>
      <c r="V49" s="233" t="s">
        <v>55</v>
      </c>
      <c r="W49" s="234">
        <f>IF($R$3="Oui",(M49*AE54*Z41+(R49*AE54*6.2)),0)</f>
        <v>0</v>
      </c>
      <c r="X49" s="235" t="s">
        <v>55</v>
      </c>
      <c r="Y49" s="23"/>
      <c r="Z49" s="246"/>
      <c r="AA49" s="246"/>
      <c r="AB49" s="148"/>
      <c r="AC49" s="148"/>
      <c r="AD49" s="148"/>
      <c r="AE49" s="153"/>
      <c r="AG49" s="147"/>
      <c r="AH49" s="148"/>
      <c r="AI49" s="148"/>
      <c r="AJ49" s="148"/>
      <c r="AK49" s="121"/>
      <c r="AV49" s="18" t="s">
        <v>264</v>
      </c>
      <c r="AW49" s="218">
        <f>IF(($R$40=AV49)*AND($R$41&lt;&gt;""),VLOOKUP($R$41,'Barèmes police'!$BA$40:$BB$70,2),0)</f>
        <v>0</v>
      </c>
      <c r="AZ49" s="17"/>
      <c r="BA49" s="17"/>
      <c r="BB49" s="17"/>
      <c r="BC49" s="17"/>
      <c r="BD49" s="17"/>
      <c r="BE49" s="17"/>
      <c r="BF49" s="17"/>
    </row>
    <row r="50" spans="1:58" s="141" customFormat="1" ht="12.75" customHeight="1" x14ac:dyDescent="0.2">
      <c r="A50" s="17"/>
      <c r="B50" s="395" t="s">
        <v>208</v>
      </c>
      <c r="C50" s="396"/>
      <c r="D50" s="396"/>
      <c r="E50" s="396"/>
      <c r="F50" s="151"/>
      <c r="G50" s="152"/>
      <c r="H50" s="17"/>
      <c r="I50" s="17"/>
      <c r="J50" s="236" t="s">
        <v>227</v>
      </c>
      <c r="K50" s="237"/>
      <c r="L50" s="238"/>
      <c r="M50" s="239">
        <f>IF(P37-F51&gt;=1/49,IF(AND(O37="+",F47="Oui"),IF(MINUTE(P37-F51)&gt;=30,P37-F51+(TIME(1,0,0))-TIME(0,MINUTE(P37-F51),0),P37-F51-TIME(0,MINUTE(P37-F51),0)),0),0)</f>
        <v>0</v>
      </c>
      <c r="N50" s="225" t="s">
        <v>190</v>
      </c>
      <c r="O50" s="360" t="s">
        <v>253</v>
      </c>
      <c r="P50" s="360"/>
      <c r="Q50" s="360"/>
      <c r="R50" s="361"/>
      <c r="S50" s="354">
        <f>IF($R$2="Oui",M50*AK43*24,0)</f>
        <v>0</v>
      </c>
      <c r="T50" s="355"/>
      <c r="U50" s="355"/>
      <c r="V50" s="233" t="s">
        <v>55</v>
      </c>
      <c r="W50" s="234">
        <f>IF($R$3="Oui",M50*AK50*24,0)</f>
        <v>0</v>
      </c>
      <c r="X50" s="235" t="s">
        <v>55</v>
      </c>
      <c r="Y50" s="23"/>
      <c r="Z50" s="246"/>
      <c r="AA50" s="246"/>
      <c r="AG50" s="358" t="s">
        <v>74</v>
      </c>
      <c r="AH50" s="359"/>
      <c r="AI50" s="359"/>
      <c r="AJ50" s="359"/>
      <c r="AK50" s="121">
        <f>(W41*1.2434/1850)*0.9645*AE48</f>
        <v>5.1824281750374874</v>
      </c>
      <c r="AV50" s="18" t="s">
        <v>265</v>
      </c>
      <c r="AW50" s="218">
        <f>IF(($R$40=AV50)*AND($R$41&lt;&gt;""),VLOOKUP($R$41,'Barèmes police'!$BD$40:$BE$70,2),0)</f>
        <v>0</v>
      </c>
      <c r="AZ50" s="17"/>
      <c r="BA50" s="17"/>
      <c r="BB50" s="17"/>
      <c r="BC50" s="17"/>
      <c r="BD50" s="17"/>
      <c r="BE50" s="17"/>
      <c r="BF50" s="17"/>
    </row>
    <row r="51" spans="1:58" s="141" customFormat="1" ht="12.75" customHeight="1" x14ac:dyDescent="0.2">
      <c r="A51" s="17"/>
      <c r="B51" s="385" t="s">
        <v>209</v>
      </c>
      <c r="C51" s="386"/>
      <c r="D51" s="386"/>
      <c r="E51" s="386"/>
      <c r="F51" s="356">
        <v>0</v>
      </c>
      <c r="G51" s="357"/>
      <c r="H51" s="17"/>
      <c r="I51" s="17"/>
      <c r="J51" s="236" t="s">
        <v>228</v>
      </c>
      <c r="K51" s="237"/>
      <c r="L51" s="238"/>
      <c r="M51" s="247">
        <f>SUM(AT8:AT38)</f>
        <v>0</v>
      </c>
      <c r="N51" s="225" t="s">
        <v>214</v>
      </c>
      <c r="O51" s="360"/>
      <c r="P51" s="360"/>
      <c r="Q51" s="360"/>
      <c r="R51" s="361"/>
      <c r="S51" s="354">
        <f>IF($R$2="Oui",M51*6.7*Z41,0)</f>
        <v>0</v>
      </c>
      <c r="T51" s="355"/>
      <c r="U51" s="355"/>
      <c r="V51" s="233" t="s">
        <v>55</v>
      </c>
      <c r="W51" s="234">
        <f>IF($R$3="Oui",M51*6.7*Z41,0)</f>
        <v>0</v>
      </c>
      <c r="X51" s="235" t="s">
        <v>55</v>
      </c>
      <c r="Y51" s="23"/>
      <c r="Z51" s="246"/>
      <c r="AA51" s="246"/>
      <c r="AB51" s="352" t="s">
        <v>79</v>
      </c>
      <c r="AC51" s="353"/>
      <c r="AD51" s="353"/>
      <c r="AE51" s="133">
        <v>1.24</v>
      </c>
      <c r="AG51" s="348" t="s">
        <v>76</v>
      </c>
      <c r="AH51" s="349"/>
      <c r="AI51" s="349"/>
      <c r="AJ51" s="349"/>
      <c r="AK51" s="131">
        <f>AK47*0.325*0.9645*AE48</f>
        <v>1.5996922860162968</v>
      </c>
      <c r="AV51" s="18" t="s">
        <v>266</v>
      </c>
      <c r="AW51" s="218">
        <f>IF(($R$40=AV51)*AND($R$41&lt;&gt;""),VLOOKUP($R$41,'Barèmes police'!$BG$40:$BH$70,2),0)</f>
        <v>0</v>
      </c>
      <c r="AZ51" s="17"/>
      <c r="BA51" s="17"/>
      <c r="BB51" s="17"/>
      <c r="BC51" s="17"/>
      <c r="BD51" s="17"/>
      <c r="BE51" s="17"/>
      <c r="BF51" s="17"/>
    </row>
    <row r="52" spans="1:58" s="141" customFormat="1" ht="12.75" customHeight="1" x14ac:dyDescent="0.2">
      <c r="A52" s="17"/>
      <c r="B52" s="387" t="s">
        <v>210</v>
      </c>
      <c r="C52" s="388"/>
      <c r="D52" s="388"/>
      <c r="E52" s="388"/>
      <c r="F52" s="350">
        <v>0</v>
      </c>
      <c r="G52" s="351"/>
      <c r="H52" s="17"/>
      <c r="I52" s="17"/>
      <c r="J52" s="236" t="s">
        <v>229</v>
      </c>
      <c r="K52" s="237"/>
      <c r="L52" s="238"/>
      <c r="M52" s="244">
        <f>SUM(Y8:Y38)</f>
        <v>0</v>
      </c>
      <c r="N52" s="237" t="s">
        <v>56</v>
      </c>
      <c r="O52" s="248"/>
      <c r="P52" s="248"/>
      <c r="Q52" s="248"/>
      <c r="R52" s="249"/>
      <c r="S52" s="354">
        <f>IF($R$2="Oui",M52*Z48,0)</f>
        <v>0</v>
      </c>
      <c r="T52" s="355"/>
      <c r="U52" s="355"/>
      <c r="V52" s="233" t="s">
        <v>55</v>
      </c>
      <c r="W52" s="234">
        <f>IF($R$3="Oui",M52*Z48,0)</f>
        <v>0</v>
      </c>
      <c r="X52" s="235" t="s">
        <v>55</v>
      </c>
      <c r="Y52" s="23"/>
      <c r="Z52" s="246"/>
      <c r="AA52" s="246"/>
      <c r="AB52" s="358" t="s">
        <v>80</v>
      </c>
      <c r="AC52" s="359"/>
      <c r="AD52" s="359"/>
      <c r="AE52" s="121">
        <v>2.48</v>
      </c>
      <c r="AZ52" s="17"/>
      <c r="BA52" s="17"/>
      <c r="BB52" s="17"/>
      <c r="BC52" s="17"/>
      <c r="BD52" s="17"/>
      <c r="BE52" s="17"/>
      <c r="BF52" s="17"/>
    </row>
    <row r="53" spans="1:58" s="141" customFormat="1" ht="12.75" customHeight="1" x14ac:dyDescent="0.2">
      <c r="A53" s="17"/>
      <c r="B53" s="19"/>
      <c r="C53" s="17"/>
      <c r="D53" s="17"/>
      <c r="E53" s="17"/>
      <c r="F53" s="37"/>
      <c r="G53" s="37"/>
      <c r="H53" s="17"/>
      <c r="I53" s="17"/>
      <c r="J53" s="236" t="s">
        <v>244</v>
      </c>
      <c r="K53" s="237"/>
      <c r="L53" s="238"/>
      <c r="M53" s="239">
        <f>IF(MINUTE(SUM(Z8:Z38))&gt;=30,SUM(Z8:Z38)+(TIME(1,0,0))-TIME(0,MINUTE(SUM(Z8:Z38)),0),SUM(Z8:Z38)-TIME(0,MINUTE(SUM(Z8:Z38)),0))</f>
        <v>0</v>
      </c>
      <c r="N53" s="237" t="s">
        <v>190</v>
      </c>
      <c r="O53" s="248"/>
      <c r="P53" s="248"/>
      <c r="Q53" s="248"/>
      <c r="R53" s="249"/>
      <c r="S53" s="354">
        <f>IF($R$2="Oui",M53*AK53*24,0)</f>
        <v>0</v>
      </c>
      <c r="T53" s="355"/>
      <c r="U53" s="355"/>
      <c r="V53" s="233" t="s">
        <v>55</v>
      </c>
      <c r="W53" s="234">
        <f>IF($R$3="Oui",M53*AK53*24,0)</f>
        <v>0</v>
      </c>
      <c r="X53" s="235" t="s">
        <v>55</v>
      </c>
      <c r="Y53" s="23"/>
      <c r="Z53" s="246"/>
      <c r="AA53" s="246"/>
      <c r="AB53" s="358" t="s">
        <v>81</v>
      </c>
      <c r="AC53" s="359"/>
      <c r="AD53" s="359"/>
      <c r="AE53" s="121">
        <v>2.48</v>
      </c>
      <c r="AG53" s="352" t="s">
        <v>83</v>
      </c>
      <c r="AH53" s="353"/>
      <c r="AI53" s="353"/>
      <c r="AJ53" s="353"/>
      <c r="AK53" s="130">
        <f>AK43/24</f>
        <v>0.38846514804107962</v>
      </c>
      <c r="AZ53" s="17"/>
      <c r="BA53" s="17"/>
      <c r="BB53" s="17"/>
      <c r="BC53" s="17"/>
      <c r="BD53" s="17"/>
      <c r="BE53" s="17"/>
      <c r="BF53" s="17"/>
    </row>
    <row r="54" spans="1:58" s="141" customFormat="1" ht="12.75" customHeight="1" x14ac:dyDescent="0.2">
      <c r="A54" s="17"/>
      <c r="B54" s="19"/>
      <c r="C54" s="17"/>
      <c r="D54" s="17"/>
      <c r="E54" s="17"/>
      <c r="F54" s="37"/>
      <c r="G54" s="37"/>
      <c r="H54" s="17"/>
      <c r="I54" s="17"/>
      <c r="J54" s="236" t="s">
        <v>230</v>
      </c>
      <c r="K54" s="237"/>
      <c r="L54" s="238"/>
      <c r="M54" s="239">
        <f>IF(MINUTE(SUM(AA8:AA38))&gt;=30,SUM(AA8:AA38)+(TIME(1,0,0))-TIME(0,MINUTE(SUM(AA8:AA38)),0),SUM(AA8:AA38)-TIME(0,MINUTE(SUM(AA8:AA38)),0))</f>
        <v>0</v>
      </c>
      <c r="N54" s="237" t="s">
        <v>190</v>
      </c>
      <c r="O54" s="248"/>
      <c r="P54" s="248"/>
      <c r="Q54" s="248"/>
      <c r="R54" s="249"/>
      <c r="S54" s="354">
        <f>IF($R$2="Oui",M54*AK54*24,0)</f>
        <v>0</v>
      </c>
      <c r="T54" s="355"/>
      <c r="U54" s="355"/>
      <c r="V54" s="233" t="s">
        <v>55</v>
      </c>
      <c r="W54" s="234">
        <f>IF($R$3="Oui",M54*AK54*24,0)</f>
        <v>0</v>
      </c>
      <c r="X54" s="235" t="s">
        <v>55</v>
      </c>
      <c r="Y54" s="23"/>
      <c r="Z54" s="246"/>
      <c r="AA54" s="246"/>
      <c r="AB54" s="348" t="s">
        <v>82</v>
      </c>
      <c r="AC54" s="349"/>
      <c r="AD54" s="349"/>
      <c r="AE54" s="131">
        <v>1.74</v>
      </c>
      <c r="AG54" s="348" t="s">
        <v>84</v>
      </c>
      <c r="AH54" s="349"/>
      <c r="AI54" s="349"/>
      <c r="AJ54" s="349"/>
      <c r="AK54" s="132">
        <f>AK43/15</f>
        <v>0.62154423686572735</v>
      </c>
      <c r="AZ54" s="17"/>
      <c r="BA54" s="17"/>
      <c r="BB54" s="17"/>
      <c r="BC54" s="17"/>
      <c r="BD54" s="17"/>
      <c r="BE54" s="17"/>
      <c r="BF54" s="17"/>
    </row>
    <row r="55" spans="1:58" s="141" customFormat="1" ht="12.75" customHeight="1" x14ac:dyDescent="0.2">
      <c r="A55" s="17"/>
      <c r="B55" s="19"/>
      <c r="C55" s="17"/>
      <c r="D55" s="17"/>
      <c r="E55" s="17"/>
      <c r="F55" s="37"/>
      <c r="G55" s="37"/>
      <c r="H55" s="17"/>
      <c r="I55" s="17"/>
      <c r="J55" s="223" t="s">
        <v>57</v>
      </c>
      <c r="K55" s="224"/>
      <c r="L55" s="250"/>
      <c r="M55" s="251">
        <f>SUM(AS8:AS38)</f>
        <v>0</v>
      </c>
      <c r="N55" s="225" t="s">
        <v>214</v>
      </c>
      <c r="O55" s="252"/>
      <c r="P55" s="252"/>
      <c r="Q55" s="252"/>
      <c r="R55" s="253"/>
      <c r="S55" s="471">
        <f>IF($R$2="Oui",M55*2.81*Z41*AE48,0)</f>
        <v>0</v>
      </c>
      <c r="T55" s="472"/>
      <c r="U55" s="472"/>
      <c r="V55" s="233" t="s">
        <v>55</v>
      </c>
      <c r="W55" s="234">
        <f>IF($R$3="Oui",M55*2.81*Z41*AE48,0)</f>
        <v>0</v>
      </c>
      <c r="X55" s="235" t="s">
        <v>55</v>
      </c>
      <c r="Y55" s="23"/>
      <c r="Z55" s="246"/>
      <c r="AA55" s="246"/>
      <c r="AZ55" s="17"/>
      <c r="BA55" s="17"/>
      <c r="BB55" s="17"/>
      <c r="BC55" s="17"/>
      <c r="BD55" s="17"/>
      <c r="BE55" s="17"/>
      <c r="BF55" s="17"/>
    </row>
    <row r="56" spans="1:58" s="141" customFormat="1" ht="12.75" customHeight="1" x14ac:dyDescent="0.2">
      <c r="A56" s="17"/>
      <c r="B56" s="19"/>
      <c r="C56" s="17"/>
      <c r="D56" s="17"/>
      <c r="E56" s="17"/>
      <c r="F56" s="37"/>
      <c r="G56" s="37"/>
      <c r="H56" s="17"/>
      <c r="I56" s="17"/>
      <c r="J56" s="254"/>
      <c r="K56" s="254"/>
      <c r="L56" s="24"/>
      <c r="M56" s="255"/>
      <c r="N56" s="256"/>
      <c r="O56" s="257"/>
      <c r="P56" s="23"/>
      <c r="Q56" s="258"/>
      <c r="R56" s="259" t="s">
        <v>262</v>
      </c>
      <c r="S56" s="473">
        <f>IF($R$2="Oui",SUM(S42:U55),0)</f>
        <v>0</v>
      </c>
      <c r="T56" s="474"/>
      <c r="U56" s="474"/>
      <c r="V56" s="260" t="s">
        <v>55</v>
      </c>
      <c r="W56" s="261">
        <f>IF($R$3="Oui",SUM(W42:W55),0)</f>
        <v>0</v>
      </c>
      <c r="X56" s="262" t="s">
        <v>55</v>
      </c>
      <c r="Y56" s="23"/>
      <c r="Z56" s="246"/>
      <c r="AA56" s="246"/>
      <c r="AZ56" s="17"/>
      <c r="BA56" s="17"/>
      <c r="BB56" s="17"/>
      <c r="BC56" s="17"/>
      <c r="BD56" s="17"/>
      <c r="BE56" s="17"/>
      <c r="BF56" s="17"/>
    </row>
    <row r="57" spans="1:58" s="141" customFormat="1" ht="12.75" customHeight="1" x14ac:dyDescent="0.2">
      <c r="A57" s="17"/>
      <c r="B57" s="19"/>
      <c r="C57" s="17"/>
      <c r="D57" s="17"/>
      <c r="E57" s="17"/>
      <c r="F57" s="37"/>
      <c r="G57" s="37"/>
      <c r="H57" s="17"/>
      <c r="I57" s="17"/>
      <c r="J57" s="17"/>
      <c r="K57" s="17"/>
      <c r="L57" s="19"/>
      <c r="M57" s="19"/>
      <c r="N57" s="18"/>
      <c r="O57" s="18"/>
      <c r="P57" s="17"/>
      <c r="Q57" s="17"/>
      <c r="R57" s="17"/>
      <c r="S57" s="17"/>
      <c r="T57" s="17"/>
      <c r="U57" s="17"/>
      <c r="V57" s="17"/>
      <c r="W57" s="17"/>
      <c r="X57" s="17"/>
      <c r="Y57" s="17"/>
      <c r="AB57" s="448" t="s">
        <v>164</v>
      </c>
      <c r="AC57" s="449"/>
      <c r="AD57" s="450"/>
      <c r="AZ57" s="17"/>
      <c r="BA57" s="17"/>
      <c r="BB57" s="17"/>
      <c r="BC57" s="17"/>
      <c r="BD57" s="17"/>
      <c r="BE57" s="17"/>
      <c r="BF57" s="17"/>
    </row>
    <row r="58" spans="1:58" s="141" customFormat="1" ht="12.75" customHeight="1" x14ac:dyDescent="0.2">
      <c r="A58" s="17"/>
      <c r="B58" s="19"/>
      <c r="C58" s="17"/>
      <c r="D58" s="17"/>
      <c r="E58" s="17"/>
      <c r="F58" s="37"/>
      <c r="G58" s="37"/>
      <c r="H58" s="17"/>
      <c r="I58" s="17"/>
      <c r="J58" s="17"/>
      <c r="K58" s="17"/>
      <c r="L58" s="19"/>
      <c r="M58" s="19"/>
      <c r="N58" s="18"/>
      <c r="O58" s="18"/>
      <c r="P58" s="17"/>
      <c r="Q58" s="17"/>
      <c r="R58" s="17"/>
      <c r="S58" s="17"/>
      <c r="T58" s="17"/>
      <c r="U58" s="17"/>
      <c r="V58" s="17"/>
      <c r="W58" s="17"/>
      <c r="X58" s="17"/>
      <c r="AB58" s="451">
        <f>Configuration!$H$30</f>
        <v>0</v>
      </c>
      <c r="AC58" s="452"/>
      <c r="AD58" s="453"/>
      <c r="AZ58" s="17"/>
      <c r="BA58" s="17"/>
      <c r="BB58" s="17"/>
      <c r="BC58" s="17"/>
      <c r="BD58" s="17"/>
      <c r="BE58" s="17"/>
      <c r="BF58" s="17"/>
    </row>
    <row r="70" spans="48:49" ht="12.75" customHeight="1" x14ac:dyDescent="0.2">
      <c r="AV70" s="141" t="s">
        <v>270</v>
      </c>
      <c r="AW70" s="290">
        <f>IF(($R$40=AV70)*AND($R$41&lt;&gt;""),VLOOKUP($R$41,'Barèmes CALOG'!$B$4:$C$34,2),0)</f>
        <v>0</v>
      </c>
    </row>
    <row r="71" spans="48:49" ht="12.75" customHeight="1" x14ac:dyDescent="0.2">
      <c r="AV71" s="141" t="s">
        <v>271</v>
      </c>
      <c r="AW71" s="290">
        <f>IF(($R$40=AV71)*AND($R$41&lt;&gt;""),VLOOKUP($R$41,'Barèmes CALOG'!$E$4:$F$34,2),0)</f>
        <v>0</v>
      </c>
    </row>
    <row r="72" spans="48:49" ht="12.75" customHeight="1" x14ac:dyDescent="0.2">
      <c r="AV72" s="141" t="s">
        <v>272</v>
      </c>
      <c r="AW72" s="290">
        <f>IF(($R$40=AV72)*AND($R$41&lt;&gt;""),VLOOKUP($R$41,'Barèmes CALOG'!$H$4:$I$34,2),0)</f>
        <v>0</v>
      </c>
    </row>
    <row r="73" spans="48:49" ht="12.75" customHeight="1" x14ac:dyDescent="0.2">
      <c r="AV73" s="141" t="s">
        <v>273</v>
      </c>
      <c r="AW73" s="290">
        <f>IF(($R$40=AV73)*AND($R$41&lt;&gt;""),VLOOKUP($R$41,'Barèmes CALOG'!$K$4:$L$34,2),0)</f>
        <v>0</v>
      </c>
    </row>
    <row r="74" spans="48:49" ht="12.75" customHeight="1" x14ac:dyDescent="0.2">
      <c r="AV74" s="141" t="s">
        <v>274</v>
      </c>
      <c r="AW74" s="290">
        <f>IF(($R$40=AV74)*AND($R$41&lt;&gt;""),VLOOKUP($R$41,'Barèmes CALOG'!$N$4:$O$34,2),0)</f>
        <v>0</v>
      </c>
    </row>
    <row r="75" spans="48:49" ht="12.75" customHeight="1" x14ac:dyDescent="0.2">
      <c r="AV75" s="141" t="s">
        <v>275</v>
      </c>
      <c r="AW75" s="290">
        <f>IF(($R$40=AV75)*AND($R$41&lt;&gt;""),VLOOKUP($R$41,'Barèmes CALOG'!$Q$4:$R$34,2),0)</f>
        <v>0</v>
      </c>
    </row>
    <row r="76" spans="48:49" ht="12.75" customHeight="1" x14ac:dyDescent="0.2">
      <c r="AV76" s="141" t="s">
        <v>276</v>
      </c>
      <c r="AW76" s="290">
        <f>IF(($R$40=AV76)*AND($R$41&lt;&gt;""),VLOOKUP($R$41,'Barèmes CALOG'!$T$4:$U$34,2),0)</f>
        <v>0</v>
      </c>
    </row>
    <row r="77" spans="48:49" ht="12.75" customHeight="1" x14ac:dyDescent="0.2">
      <c r="AV77" s="141" t="s">
        <v>277</v>
      </c>
      <c r="AW77" s="290">
        <f>IF(($R$40=AV77)*AND($R$41&lt;&gt;""),VLOOKUP($R$41,'Barèmes CALOG'!$W$4:$X$34,2),0)</f>
        <v>0</v>
      </c>
    </row>
    <row r="78" spans="48:49" ht="12.75" customHeight="1" x14ac:dyDescent="0.2">
      <c r="AV78" s="141" t="s">
        <v>278</v>
      </c>
      <c r="AW78" s="290">
        <f>IF(($R$40=AV78)*AND($R$41&lt;&gt;""),VLOOKUP($R$41,'Barèmes CALOG'!$Z$4:$AA$34,2),0)</f>
        <v>0</v>
      </c>
    </row>
    <row r="79" spans="48:49" ht="12.75" customHeight="1" x14ac:dyDescent="0.2">
      <c r="AV79" s="141" t="s">
        <v>279</v>
      </c>
      <c r="AW79" s="290">
        <f>IF(($R$40=AV79)*AND($R$41&lt;&gt;""),VLOOKUP($R$41,'Barèmes CALOG'!$AC$4:$AD$34,2),0)</f>
        <v>0</v>
      </c>
    </row>
    <row r="80" spans="48:49" ht="12.75" customHeight="1" x14ac:dyDescent="0.2">
      <c r="AV80" s="141" t="s">
        <v>280</v>
      </c>
      <c r="AW80" s="290">
        <f>IF(($R$40=AV80)*AND($R$41&lt;&gt;""),VLOOKUP($R$41,'Barèmes CALOG'!$AF$4:$AG$34,2),0)</f>
        <v>0</v>
      </c>
    </row>
    <row r="81" spans="48:49" ht="12.75" customHeight="1" x14ac:dyDescent="0.2">
      <c r="AV81" s="141" t="s">
        <v>281</v>
      </c>
      <c r="AW81" s="290">
        <f>IF(($R$40=AV81)*AND($R$41&lt;&gt;""),VLOOKUP($R$41,'Barèmes CALOG'!$AI$4:$AJ$34,2),0)</f>
        <v>0</v>
      </c>
    </row>
    <row r="82" spans="48:49" ht="12.75" customHeight="1" x14ac:dyDescent="0.2">
      <c r="AV82" s="141" t="s">
        <v>282</v>
      </c>
      <c r="AW82" s="290">
        <f>IF(($R$40=AV82)*AND($R$41&lt;&gt;""),VLOOKUP($R$41,'Barèmes CALOG'!$AL$4:$AM$34,2),0)</f>
        <v>0</v>
      </c>
    </row>
    <row r="83" spans="48:49" ht="12.75" customHeight="1" x14ac:dyDescent="0.2">
      <c r="AV83" s="141" t="s">
        <v>283</v>
      </c>
      <c r="AW83" s="290">
        <f>IF(($R$40=AV83)*AND($R$41&lt;&gt;""),VLOOKUP($R$41,'Barèmes CALOG'!$AO$4:$AP$34,2),0)</f>
        <v>0</v>
      </c>
    </row>
    <row r="84" spans="48:49" ht="12.75" customHeight="1" x14ac:dyDescent="0.2">
      <c r="AV84" s="141" t="s">
        <v>284</v>
      </c>
      <c r="AW84" s="290">
        <f>IF(($R$40=AV84)*AND($R$41&lt;&gt;""),VLOOKUP($R$41,'Barèmes CALOG'!$AR$4:$AS$34,2),0)</f>
        <v>0</v>
      </c>
    </row>
    <row r="85" spans="48:49" ht="12.75" customHeight="1" x14ac:dyDescent="0.2">
      <c r="AV85" s="141" t="s">
        <v>285</v>
      </c>
      <c r="AW85" s="290">
        <f>IF(($R$40=AV85)*AND($R$41&lt;&gt;""),VLOOKUP($R$41,'Barèmes CALOG'!$AU$4:$AV$34,2),0)</f>
        <v>0</v>
      </c>
    </row>
    <row r="86" spans="48:49" ht="12.75" customHeight="1" x14ac:dyDescent="0.2">
      <c r="AV86" s="141" t="s">
        <v>286</v>
      </c>
      <c r="AW86" s="290">
        <f>IF(($R$40=AV86)*AND($R$41&lt;&gt;""),VLOOKUP($R$41,'Barèmes CALOG'!$AX$4:$AY$34,2),0)</f>
        <v>0</v>
      </c>
    </row>
    <row r="87" spans="48:49" ht="12.75" customHeight="1" x14ac:dyDescent="0.2">
      <c r="AV87" s="141" t="s">
        <v>287</v>
      </c>
      <c r="AW87" s="290">
        <f>IF(($R$40=AV87)*AND($R$41&lt;&gt;""),VLOOKUP($R$41,'Barèmes CALOG'!$BA$4:$BB$34,2),0)</f>
        <v>0</v>
      </c>
    </row>
    <row r="88" spans="48:49" ht="12.75" customHeight="1" x14ac:dyDescent="0.2">
      <c r="AV88" s="141" t="s">
        <v>288</v>
      </c>
      <c r="AW88" s="290">
        <f>IF(($R$40=AV88)*AND($R$41&lt;&gt;""),VLOOKUP($R$41,'Barèmes CALOG'!$BD$4:$BE$34,2),0)</f>
        <v>0</v>
      </c>
    </row>
    <row r="89" spans="48:49" ht="12.75" customHeight="1" x14ac:dyDescent="0.2">
      <c r="AV89" s="141" t="s">
        <v>289</v>
      </c>
      <c r="AW89" s="290">
        <f>IF(($R$40=AV89)*AND($R$41&lt;&gt;""),VLOOKUP($R$41,'Barèmes CALOG'!$BG$4:$BH$34,2),0)</f>
        <v>0</v>
      </c>
    </row>
    <row r="90" spans="48:49" ht="12.75" customHeight="1" x14ac:dyDescent="0.2">
      <c r="AV90" s="141" t="s">
        <v>290</v>
      </c>
      <c r="AW90" s="290">
        <f>IF(($R$40=AV90)*AND($R$41&lt;&gt;""),VLOOKUP($R$41,'Barèmes CALOG'!$BJ$4:$BK$34,2),0)</f>
        <v>0</v>
      </c>
    </row>
    <row r="91" spans="48:49" ht="12.75" customHeight="1" x14ac:dyDescent="0.2">
      <c r="AV91" s="141" t="s">
        <v>291</v>
      </c>
      <c r="AW91" s="290">
        <f>IF(($R$40=AV91)*AND($R$41&lt;&gt;""),VLOOKUP($R$41,'Barèmes CALOG'!$BM$4:$BN$34,2),0)</f>
        <v>0</v>
      </c>
    </row>
    <row r="92" spans="48:49" ht="12.75" customHeight="1" x14ac:dyDescent="0.2">
      <c r="AV92" s="141" t="s">
        <v>292</v>
      </c>
      <c r="AW92" s="290">
        <f>IF(($R$40=AV92)*AND($R$41&lt;&gt;""),VLOOKUP($R$41,'Barèmes CALOG'!$BP$4:$BQ$34,2),0)</f>
        <v>0</v>
      </c>
    </row>
    <row r="93" spans="48:49" ht="12.75" customHeight="1" x14ac:dyDescent="0.2">
      <c r="AV93" s="141" t="s">
        <v>293</v>
      </c>
      <c r="AW93" s="290">
        <f>IF(($R$40=AV93)*AND($R$41&lt;&gt;""),VLOOKUP($R$41,'Barèmes CALOG'!$BS$4:$BT$34,2),0)</f>
        <v>0</v>
      </c>
    </row>
    <row r="94" spans="48:49" ht="12.75" customHeight="1" x14ac:dyDescent="0.2">
      <c r="AV94" s="141" t="s">
        <v>294</v>
      </c>
      <c r="AW94" s="290">
        <f>IF(($R$40=AV94)*AND($R$41&lt;&gt;""),VLOOKUP($R$41,'Barèmes CALOG'!$BV$4:$BW$34,2),0)</f>
        <v>0</v>
      </c>
    </row>
    <row r="95" spans="48:49" ht="12.75" customHeight="1" x14ac:dyDescent="0.2">
      <c r="AV95" s="141" t="s">
        <v>295</v>
      </c>
      <c r="AW95" s="290">
        <f>IF(($R$40=AV95)*AND($R$41&lt;&gt;""),VLOOKUP($R$41,'Barèmes CALOG'!$BY$4:$BZ$34,2),0)</f>
        <v>0</v>
      </c>
    </row>
    <row r="96" spans="48:49" ht="12.75" customHeight="1" x14ac:dyDescent="0.2">
      <c r="AV96" s="141" t="s">
        <v>296</v>
      </c>
      <c r="AW96" s="290">
        <f>IF(($R$40=AV96)*AND($R$41&lt;&gt;""),VLOOKUP($R$41,'Barèmes CALOG'!$CB$4:$CC$34,2),0)</f>
        <v>0</v>
      </c>
    </row>
    <row r="97" spans="48:49" ht="12.75" customHeight="1" x14ac:dyDescent="0.2">
      <c r="AV97" s="141" t="s">
        <v>297</v>
      </c>
      <c r="AW97" s="290">
        <f>IF(($R$40=AV97)*AND($R$41&lt;&gt;""),VLOOKUP($R$41,'Barèmes CALOG'!$CE$4:$CF$34,2),0)</f>
        <v>0</v>
      </c>
    </row>
    <row r="98" spans="48:49" ht="12.75" customHeight="1" x14ac:dyDescent="0.2">
      <c r="AV98" s="141" t="s">
        <v>298</v>
      </c>
      <c r="AW98" s="290">
        <f>IF(($R$40=AV98)*AND($R$41&lt;&gt;""),VLOOKUP($R$41,'Barèmes CALOG'!$CH$4:$CI$34,2),0)</f>
        <v>0</v>
      </c>
    </row>
    <row r="99" spans="48:49" ht="12.75" customHeight="1" x14ac:dyDescent="0.2">
      <c r="AV99" s="141" t="s">
        <v>299</v>
      </c>
      <c r="AW99" s="290">
        <f>IF(($R$40=AV99)*AND($R$41&lt;&gt;""),VLOOKUP($R$41,'Barèmes CALOG'!$CK$4:$CL$34,2),0)</f>
        <v>0</v>
      </c>
    </row>
    <row r="100" spans="48:49" ht="12.75" customHeight="1" x14ac:dyDescent="0.2">
      <c r="AV100" s="141" t="s">
        <v>300</v>
      </c>
      <c r="AW100" s="290">
        <f>IF(($R$40=AV100)*AND($R$41&lt;&gt;""),VLOOKUP($R$41,'Barèmes CALOG'!$CN$4:$CO$34,2),0)</f>
        <v>0</v>
      </c>
    </row>
    <row r="101" spans="48:49" ht="12.75" customHeight="1" x14ac:dyDescent="0.2">
      <c r="AV101" s="141" t="s">
        <v>301</v>
      </c>
      <c r="AW101" s="290">
        <f>IF(($R$40=AV101)*AND($R$41&lt;&gt;""),VLOOKUP($R$41,'Barèmes CALOG'!$CQ$4:$CR$34,2),0)</f>
        <v>0</v>
      </c>
    </row>
    <row r="102" spans="48:49" ht="12.75" customHeight="1" x14ac:dyDescent="0.2">
      <c r="AV102" s="141" t="s">
        <v>302</v>
      </c>
      <c r="AW102" s="290">
        <f>IF(($R$40=AV102)*AND($R$41&lt;&gt;""),VLOOKUP($R$41,'Barèmes CALOG'!$CT$4:$CU$34,2),0)</f>
        <v>0</v>
      </c>
    </row>
    <row r="103" spans="48:49" ht="12.75" customHeight="1" x14ac:dyDescent="0.2">
      <c r="AV103" s="141" t="s">
        <v>303</v>
      </c>
      <c r="AW103" s="290">
        <f>IF(($R$40=AV103)*AND($R$41&lt;&gt;""),VLOOKUP($R$41,'Barèmes CALOG'!$CW$4:$CX$34,2),0)</f>
        <v>0</v>
      </c>
    </row>
    <row r="104" spans="48:49" ht="12.75" customHeight="1" x14ac:dyDescent="0.2">
      <c r="AV104" s="141" t="s">
        <v>304</v>
      </c>
      <c r="AW104" s="290">
        <f>IF(($R$40=AV104)*AND($R$41&lt;&gt;""),VLOOKUP($R$41,'Barèmes CALOG'!$B$40:$C$70,2),0)</f>
        <v>0</v>
      </c>
    </row>
    <row r="105" spans="48:49" ht="12.75" customHeight="1" x14ac:dyDescent="0.2">
      <c r="AV105" s="141" t="s">
        <v>305</v>
      </c>
      <c r="AW105" s="290">
        <f>IF(($R$40=AV105)*AND($R$41&lt;&gt;""),VLOOKUP($R$41,'Barèmes CALOG'!$E$40:$F$70,2),0)</f>
        <v>0</v>
      </c>
    </row>
    <row r="106" spans="48:49" ht="12.75" customHeight="1" x14ac:dyDescent="0.2">
      <c r="AV106" s="141" t="s">
        <v>306</v>
      </c>
      <c r="AW106" s="290">
        <f>IF(($R$40=AV106)*AND($R$41&lt;&gt;""),VLOOKUP($R$41,'Barèmes CALOG'!$H$40:$I$70,2),0)</f>
        <v>0</v>
      </c>
    </row>
    <row r="107" spans="48:49" ht="12.75" customHeight="1" x14ac:dyDescent="0.2">
      <c r="AV107" s="141" t="s">
        <v>307</v>
      </c>
      <c r="AW107" s="290">
        <f>IF(($R$40=AV107)*AND($R$41&lt;&gt;""),VLOOKUP($R$41,'Barèmes CALOG'!$K$40:$L$70,2),0)</f>
        <v>0</v>
      </c>
    </row>
    <row r="108" spans="48:49" ht="12.75" customHeight="1" x14ac:dyDescent="0.2">
      <c r="AV108" s="141" t="s">
        <v>308</v>
      </c>
      <c r="AW108" s="290">
        <f>IF(($R$40=AV108)*AND($R$41&lt;&gt;""),VLOOKUP($R$41,'Barèmes CALOG'!$N$40:$O$70,2),0)</f>
        <v>0</v>
      </c>
    </row>
    <row r="109" spans="48:49" ht="12.75" customHeight="1" x14ac:dyDescent="0.2">
      <c r="AV109" s="141" t="s">
        <v>309</v>
      </c>
      <c r="AW109" s="290">
        <f>IF(($R$40=AV109)*AND($R$41&lt;&gt;""),VLOOKUP($R$41,'Barèmes CALOG'!$Q$40:$R$70,2),0)</f>
        <v>0</v>
      </c>
    </row>
    <row r="110" spans="48:49" ht="12.75" customHeight="1" x14ac:dyDescent="0.2">
      <c r="AV110" s="141" t="s">
        <v>310</v>
      </c>
      <c r="AW110" s="290">
        <f>IF(($R$40=AV110)*AND($R$41&lt;&gt;""),VLOOKUP($R$41,'Barèmes CALOG'!$T$40:$U$70,2),0)</f>
        <v>0</v>
      </c>
    </row>
    <row r="111" spans="48:49" ht="12.75" customHeight="1" x14ac:dyDescent="0.2">
      <c r="AV111" s="141" t="s">
        <v>311</v>
      </c>
      <c r="AW111" s="290">
        <f>IF(($R$40=AV111)*AND($R$41&lt;&gt;""),VLOOKUP($R$41,'Barèmes CALOG'!$W$40:$X$70,2),0)</f>
        <v>0</v>
      </c>
    </row>
    <row r="112" spans="48:49" ht="12.75" customHeight="1" x14ac:dyDescent="0.2">
      <c r="AV112" s="141" t="s">
        <v>312</v>
      </c>
      <c r="AW112" s="290">
        <f>IF(($R$40=AV112)*AND($R$41&lt;&gt;""),VLOOKUP($R$41,'Barèmes CALOG'!$Z$40:$AA$70,2),0)</f>
        <v>0</v>
      </c>
    </row>
    <row r="113" spans="48:49" ht="12.75" customHeight="1" x14ac:dyDescent="0.2">
      <c r="AV113" s="141" t="s">
        <v>313</v>
      </c>
      <c r="AW113" s="290">
        <f>IF(($R$40=AV113)*AND($R$41&lt;&gt;""),VLOOKUP($R$41,'Barèmes CALOG'!$AC$40:$AD$70,2),0)</f>
        <v>0</v>
      </c>
    </row>
    <row r="114" spans="48:49" ht="12.75" customHeight="1" x14ac:dyDescent="0.2">
      <c r="AV114" s="141" t="s">
        <v>314</v>
      </c>
      <c r="AW114" s="290">
        <f>IF(($R$40=AV114)*AND($R$41&lt;&gt;""),VLOOKUP($R$41,'Barèmes CALOG'!$AF$40:$AG$70,2),0)</f>
        <v>0</v>
      </c>
    </row>
    <row r="115" spans="48:49" ht="12.75" customHeight="1" x14ac:dyDescent="0.2">
      <c r="AV115" s="141" t="s">
        <v>315</v>
      </c>
      <c r="AW115" s="290">
        <f>IF(($R$40=AV115)*AND($R$41&lt;&gt;""),VLOOKUP($R$41,'Barèmes CALOG'!$AI$40:$AJ$70,2),0)</f>
        <v>0</v>
      </c>
    </row>
    <row r="116" spans="48:49" ht="12.75" customHeight="1" x14ac:dyDescent="0.2">
      <c r="AV116" s="141" t="s">
        <v>316</v>
      </c>
      <c r="AW116" s="290">
        <f>IF(($R$40=AV116)*AND($R$41&lt;&gt;""),VLOOKUP($R$41,'Barèmes CALOG'!$AL$40:$AM$70,2),0)</f>
        <v>0</v>
      </c>
    </row>
    <row r="117" spans="48:49" ht="12.75" customHeight="1" x14ac:dyDescent="0.2">
      <c r="AV117" s="141" t="s">
        <v>317</v>
      </c>
      <c r="AW117" s="290">
        <f>IF(($R$40=AV117)*AND($R$41&lt;&gt;""),VLOOKUP($R$41,'Barèmes CALOG'!$AO$40:$AP$70,2),0)</f>
        <v>0</v>
      </c>
    </row>
    <row r="118" spans="48:49" ht="12.75" customHeight="1" x14ac:dyDescent="0.2">
      <c r="AV118" s="141" t="s">
        <v>318</v>
      </c>
      <c r="AW118" s="290">
        <f>IF(($R$40=AV118)*AND($R$41&lt;&gt;""),VLOOKUP($R$41,'Barèmes CALOG'!$AR$40:$AS$70,2),0)</f>
        <v>0</v>
      </c>
    </row>
    <row r="119" spans="48:49" ht="12.75" customHeight="1" x14ac:dyDescent="0.2">
      <c r="AV119" s="141" t="s">
        <v>319</v>
      </c>
      <c r="AW119" s="290">
        <f>IF(($R$40=AV119)*AND($R$41&lt;&gt;""),VLOOKUP($R$41,'Barèmes CALOG'!$AU$40:$AV$70,2),0)</f>
        <v>0</v>
      </c>
    </row>
    <row r="120" spans="48:49" ht="12.75" customHeight="1" x14ac:dyDescent="0.2">
      <c r="AV120" s="141" t="s">
        <v>320</v>
      </c>
      <c r="AW120" s="290">
        <f>IF(($R$40=AV120)*AND($R$41&lt;&gt;""),VLOOKUP($R$41,'Barèmes CALOG'!$AX$40:$AY$70,2),0)</f>
        <v>0</v>
      </c>
    </row>
    <row r="121" spans="48:49" ht="12.75" customHeight="1" x14ac:dyDescent="0.2">
      <c r="AV121" s="141" t="s">
        <v>321</v>
      </c>
      <c r="AW121" s="290">
        <f>IF(($R$40=AV121)*AND($R$41&lt;&gt;""),VLOOKUP($R$41,'Barèmes CALOG'!$BA$40:$BB$70,2),0)</f>
        <v>0</v>
      </c>
    </row>
    <row r="122" spans="48:49" ht="12.75" customHeight="1" x14ac:dyDescent="0.2">
      <c r="AV122" s="141" t="s">
        <v>322</v>
      </c>
      <c r="AW122" s="290">
        <f>IF(($R$40=AV122)*AND($R$41&lt;&gt;""),VLOOKUP($R$41,'Barèmes CALOG'!$BD$40:$BE$70,2),0)</f>
        <v>0</v>
      </c>
    </row>
    <row r="123" spans="48:49" ht="12.75" customHeight="1" x14ac:dyDescent="0.2">
      <c r="AV123" s="141" t="s">
        <v>323</v>
      </c>
      <c r="AW123" s="290">
        <f>IF(($R$40=AV123)*AND($R$41&lt;&gt;""),VLOOKUP($R$41,'Barèmes CALOG'!$BG$40:$BH$70,2),0)</f>
        <v>0</v>
      </c>
    </row>
    <row r="124" spans="48:49" ht="12.75" customHeight="1" x14ac:dyDescent="0.2">
      <c r="AV124" s="141" t="s">
        <v>324</v>
      </c>
      <c r="AW124" s="290">
        <f>IF(($R$40=AV124)*AND($R$41&lt;&gt;""),VLOOKUP($R$41,'Barèmes CALOG'!$BJ$40:$BK$70,2),0)</f>
        <v>0</v>
      </c>
    </row>
    <row r="125" spans="48:49" ht="12.75" customHeight="1" x14ac:dyDescent="0.2">
      <c r="AV125" s="141" t="s">
        <v>325</v>
      </c>
      <c r="AW125" s="290">
        <f>IF(($R$40=AV125)*AND($R$41&lt;&gt;""),VLOOKUP($R$41,'Barèmes CALOG'!$BM$40:$BN$70,2),0)</f>
        <v>0</v>
      </c>
    </row>
    <row r="126" spans="48:49" ht="12.75" customHeight="1" x14ac:dyDescent="0.2">
      <c r="AV126" s="141" t="s">
        <v>326</v>
      </c>
      <c r="AW126" s="290">
        <f>IF(($R$40=AV126)*AND($R$41&lt;&gt;""),VLOOKUP($R$41,'Barèmes CALOG'!$BP$40:$BQ$70,2),0)</f>
        <v>0</v>
      </c>
    </row>
    <row r="127" spans="48:49" ht="12.75" customHeight="1" x14ac:dyDescent="0.2">
      <c r="AV127" s="141" t="s">
        <v>327</v>
      </c>
      <c r="AW127" s="290">
        <f>IF(($R$40=AV127)*AND($R$41&lt;&gt;""),VLOOKUP($R$41,'Barèmes CALOG'!$BS$40:$BT$70,2),0)</f>
        <v>0</v>
      </c>
    </row>
    <row r="128" spans="48:49" ht="12.75" customHeight="1" x14ac:dyDescent="0.2">
      <c r="AV128" s="141" t="s">
        <v>328</v>
      </c>
      <c r="AW128" s="290">
        <f>IF(($R$40=AV128)*AND($R$41&lt;&gt;""),VLOOKUP($R$41,'Barèmes CALOG'!$BV$40:$BW$70,2),0)</f>
        <v>0</v>
      </c>
    </row>
    <row r="129" spans="48:49" ht="12.75" customHeight="1" x14ac:dyDescent="0.2">
      <c r="AV129" s="141" t="s">
        <v>329</v>
      </c>
      <c r="AW129" s="290">
        <f>IF(($R$40=AV129)*AND($R$41&lt;&gt;""),VLOOKUP($R$41,'Barèmes CALOG'!$BY$40:$BZ$70,2),0)</f>
        <v>0</v>
      </c>
    </row>
    <row r="130" spans="48:49" ht="12.75" customHeight="1" x14ac:dyDescent="0.2">
      <c r="AV130" s="141" t="s">
        <v>330</v>
      </c>
      <c r="AW130" s="290">
        <f>IF(($R$40=AV130)*AND($R$41&lt;&gt;""),VLOOKUP($R$41,'Barèmes CALOG'!$CB$40:$CC$70,2),0)</f>
        <v>0</v>
      </c>
    </row>
    <row r="131" spans="48:49" ht="12.75" customHeight="1" x14ac:dyDescent="0.2">
      <c r="AV131" s="141" t="s">
        <v>331</v>
      </c>
      <c r="AW131" s="290">
        <f>IF(($R$40=AV131)*AND($R$41&lt;&gt;""),VLOOKUP($R$41,'Barèmes CALOG'!$CE$40:$CF$70,2),0)</f>
        <v>0</v>
      </c>
    </row>
  </sheetData>
  <sheetProtection password="EC91" sheet="1" objects="1" scenarios="1" selectLockedCells="1"/>
  <mergeCells count="124">
    <mergeCell ref="AB57:AD57"/>
    <mergeCell ref="B52:E52"/>
    <mergeCell ref="F52:G52"/>
    <mergeCell ref="S52:U52"/>
    <mergeCell ref="AB52:AD52"/>
    <mergeCell ref="AB58:AD58"/>
    <mergeCell ref="AG53:AJ53"/>
    <mergeCell ref="S54:U54"/>
    <mergeCell ref="AB54:AD54"/>
    <mergeCell ref="AG54:AJ54"/>
    <mergeCell ref="S55:U55"/>
    <mergeCell ref="S56:U56"/>
    <mergeCell ref="S53:U53"/>
    <mergeCell ref="AB53:AD53"/>
    <mergeCell ref="S51:U51"/>
    <mergeCell ref="AB51:AD51"/>
    <mergeCell ref="AG51:AJ51"/>
    <mergeCell ref="B49:G49"/>
    <mergeCell ref="O49:Q49"/>
    <mergeCell ref="S49:U49"/>
    <mergeCell ref="B50:E50"/>
    <mergeCell ref="S50:U50"/>
    <mergeCell ref="AG50:AJ50"/>
    <mergeCell ref="O50:R50"/>
    <mergeCell ref="B51:E51"/>
    <mergeCell ref="F51:G51"/>
    <mergeCell ref="O51:R51"/>
    <mergeCell ref="O48:Q48"/>
    <mergeCell ref="S48:U48"/>
    <mergeCell ref="AB48:AD48"/>
    <mergeCell ref="AG48:AJ48"/>
    <mergeCell ref="O46:Q46"/>
    <mergeCell ref="S46:U46"/>
    <mergeCell ref="AB47:AD47"/>
    <mergeCell ref="Z47:AA47"/>
    <mergeCell ref="Z48:AA48"/>
    <mergeCell ref="B47:E47"/>
    <mergeCell ref="F47:G47"/>
    <mergeCell ref="O47:Q47"/>
    <mergeCell ref="S47:U47"/>
    <mergeCell ref="AM44:AP44"/>
    <mergeCell ref="AQ44:AR44"/>
    <mergeCell ref="B45:D45"/>
    <mergeCell ref="E45:F45"/>
    <mergeCell ref="G45:H45"/>
    <mergeCell ref="Z45:AA45"/>
    <mergeCell ref="AG47:AJ47"/>
    <mergeCell ref="AB45:AD45"/>
    <mergeCell ref="AG45:AJ45"/>
    <mergeCell ref="AM45:AP45"/>
    <mergeCell ref="AQ45:AR45"/>
    <mergeCell ref="B44:D44"/>
    <mergeCell ref="E44:F44"/>
    <mergeCell ref="G44:H44"/>
    <mergeCell ref="S44:U44"/>
    <mergeCell ref="AB44:AD44"/>
    <mergeCell ref="AG44:AJ44"/>
    <mergeCell ref="B43:D43"/>
    <mergeCell ref="E43:F43"/>
    <mergeCell ref="G43:H43"/>
    <mergeCell ref="S43:U43"/>
    <mergeCell ref="Z43:AA44"/>
    <mergeCell ref="AB43:AD43"/>
    <mergeCell ref="AG43:AJ43"/>
    <mergeCell ref="AM43:AP43"/>
    <mergeCell ref="AQ43:AR43"/>
    <mergeCell ref="B42:D42"/>
    <mergeCell ref="E42:F42"/>
    <mergeCell ref="G42:H42"/>
    <mergeCell ref="S42:U42"/>
    <mergeCell ref="J40:N40"/>
    <mergeCell ref="R40:S40"/>
    <mergeCell ref="AB42:AD42"/>
    <mergeCell ref="AG42:AJ42"/>
    <mergeCell ref="AM42:AQ42"/>
    <mergeCell ref="B41:D41"/>
    <mergeCell ref="E41:F41"/>
    <mergeCell ref="G41:H41"/>
    <mergeCell ref="R41:S41"/>
    <mergeCell ref="T41:V41"/>
    <mergeCell ref="Z41:AA41"/>
    <mergeCell ref="B40:D40"/>
    <mergeCell ref="E40:F40"/>
    <mergeCell ref="G40:H40"/>
    <mergeCell ref="T40:V40"/>
    <mergeCell ref="O7:P7"/>
    <mergeCell ref="AV4:AV7"/>
    <mergeCell ref="AW4:AW7"/>
    <mergeCell ref="AH5:AJ5"/>
    <mergeCell ref="AK5:AN5"/>
    <mergeCell ref="W39:X39"/>
    <mergeCell ref="AF4:AF7"/>
    <mergeCell ref="AS4:AS7"/>
    <mergeCell ref="AO4:AR4"/>
    <mergeCell ref="AT4:AT7"/>
    <mergeCell ref="AU4:AU7"/>
    <mergeCell ref="AG4:AG7"/>
    <mergeCell ref="AE4:AE7"/>
    <mergeCell ref="Z40:AA40"/>
    <mergeCell ref="Z6:Z7"/>
    <mergeCell ref="X6:X7"/>
    <mergeCell ref="AB4:AB7"/>
    <mergeCell ref="AC4:AC7"/>
    <mergeCell ref="AD4:AD7"/>
    <mergeCell ref="J6:K6"/>
    <mergeCell ref="L6:N6"/>
    <mergeCell ref="O6:P6"/>
    <mergeCell ref="Q6:T6"/>
    <mergeCell ref="B6:B7"/>
    <mergeCell ref="C6:C7"/>
    <mergeCell ref="D6:D7"/>
    <mergeCell ref="E6:E7"/>
    <mergeCell ref="F6:G6"/>
    <mergeCell ref="H6:I6"/>
    <mergeCell ref="D2:G2"/>
    <mergeCell ref="I2:L2"/>
    <mergeCell ref="N2:Q2"/>
    <mergeCell ref="R2:S2"/>
    <mergeCell ref="D3:G3"/>
    <mergeCell ref="J3:L3"/>
    <mergeCell ref="N3:Q3"/>
    <mergeCell ref="R3:S3"/>
    <mergeCell ref="D4:G4"/>
    <mergeCell ref="J4:L4"/>
  </mergeCells>
  <conditionalFormatting sqref="B8:AA37">
    <cfRule type="expression" dxfId="13" priority="3" stopIfTrue="1">
      <formula>OR($B8="Sa",$B8="Di",$D8="Jour férié semaine",$D8="Jour de pont")</formula>
    </cfRule>
  </conditionalFormatting>
  <conditionalFormatting sqref="Y8:AA37">
    <cfRule type="expression" dxfId="12" priority="1" stopIfTrue="1">
      <formula>OR($B8="Za",$B8="Zo",$D8="Feestdag week",$D8="Brugdag")</formula>
    </cfRule>
  </conditionalFormatting>
  <dataValidations count="3">
    <dataValidation type="list" allowBlank="1" showInputMessage="1" showErrorMessage="1" sqref="D8:D37" xr:uid="{00000000-0002-0000-0800-000000000000}">
      <formula1>$AX$8:$AX$29</formula1>
    </dataValidation>
    <dataValidation type="list" allowBlank="1" showInputMessage="1" showErrorMessage="1" sqref="E8:E37" xr:uid="{00000000-0002-0000-0800-000001000000}">
      <formula1>"M,E,ME"</formula1>
    </dataValidation>
    <dataValidation type="list" allowBlank="1" showInputMessage="1" showErrorMessage="1" sqref="R2:R3 F47" xr:uid="{00000000-0002-0000-0800-000002000000}">
      <formula1>"Oui,Non"</formula1>
    </dataValidation>
  </dataValidations>
  <pageMargins left="0.7" right="0.7" top="0.75" bottom="0.75" header="0.3" footer="0.3"/>
  <pageSetup paperSize="9" scale="69" fitToWidth="0" orientation="landscape"/>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B1AD86E8B3014F8CE841E002B856B0" ma:contentTypeVersion="17" ma:contentTypeDescription="Een nieuw document maken." ma:contentTypeScope="" ma:versionID="342c5523004eac48e0bd5ed3f7880f5f">
  <xsd:schema xmlns:xsd="http://www.w3.org/2001/XMLSchema" xmlns:xs="http://www.w3.org/2001/XMLSchema" xmlns:p="http://schemas.microsoft.com/office/2006/metadata/properties" xmlns:ns3="6a11ecbb-f341-4dc9-abc5-4dbc4d7544a1" xmlns:ns4="9f197017-132b-4698-a6f5-605890b6f0df" targetNamespace="http://schemas.microsoft.com/office/2006/metadata/properties" ma:root="true" ma:fieldsID="6e4f726da54a7625f36ef6657c74e977" ns3:_="" ns4:_="">
    <xsd:import namespace="6a11ecbb-f341-4dc9-abc5-4dbc4d7544a1"/>
    <xsd:import namespace="9f197017-132b-4698-a6f5-605890b6f0d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4:_activity" minOccurs="0"/>
                <xsd:element ref="ns4:MediaServiceObjectDetectorVersions" minOccurs="0"/>
                <xsd:element ref="ns4: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11ecbb-f341-4dc9-abc5-4dbc4d7544a1"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197017-132b-4698-a6f5-605890b6f0d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9f197017-132b-4698-a6f5-605890b6f0d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8DF3D9-6207-46F4-B6B1-7FD67A149F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11ecbb-f341-4dc9-abc5-4dbc4d7544a1"/>
    <ds:schemaRef ds:uri="9f197017-132b-4698-a6f5-605890b6f0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061A79-0EE2-440B-91FF-4B4C358A754F}">
  <ds:schemaRefs>
    <ds:schemaRef ds:uri="http://purl.org/dc/elements/1.1/"/>
    <ds:schemaRef ds:uri="http://www.w3.org/XML/1998/namespace"/>
    <ds:schemaRef ds:uri="http://schemas.microsoft.com/office/2006/documentManagement/types"/>
    <ds:schemaRef ds:uri="http://purl.org/dc/dcmitype/"/>
    <ds:schemaRef ds:uri="http://purl.org/dc/terms/"/>
    <ds:schemaRef ds:uri="http://schemas.microsoft.com/office/2006/metadata/properties"/>
    <ds:schemaRef ds:uri="http://schemas.microsoft.com/office/infopath/2007/PartnerControls"/>
    <ds:schemaRef ds:uri="6a11ecbb-f341-4dc9-abc5-4dbc4d7544a1"/>
    <ds:schemaRef ds:uri="9f197017-132b-4698-a6f5-605890b6f0df"/>
    <ds:schemaRef ds:uri="http://schemas.openxmlformats.org/package/2006/metadata/core-properties"/>
  </ds:schemaRefs>
</ds:datastoreItem>
</file>

<file path=customXml/itemProps3.xml><?xml version="1.0" encoding="utf-8"?>
<ds:datastoreItem xmlns:ds="http://schemas.openxmlformats.org/officeDocument/2006/customXml" ds:itemID="{28F9C4DB-B9D5-4706-829A-8B95E7638A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19</vt:i4>
      </vt:variant>
    </vt:vector>
  </HeadingPairs>
  <TitlesOfParts>
    <vt:vector size="19" baseType="lpstr">
      <vt:lpstr>Instructions</vt:lpstr>
      <vt:lpstr>Configuration</vt:lpstr>
      <vt:lpstr>Types de jours</vt:lpstr>
      <vt:lpstr>Jan</vt:lpstr>
      <vt:lpstr>Fev</vt:lpstr>
      <vt:lpstr>Mar</vt:lpstr>
      <vt:lpstr>Avr</vt:lpstr>
      <vt:lpstr>Mai</vt:lpstr>
      <vt:lpstr>Jun</vt:lpstr>
      <vt:lpstr>Jul</vt:lpstr>
      <vt:lpstr>Aou</vt:lpstr>
      <vt:lpstr>Sep</vt:lpstr>
      <vt:lpstr>Oct</vt:lpstr>
      <vt:lpstr>Nov</vt:lpstr>
      <vt:lpstr>Dec</vt:lpstr>
      <vt:lpstr>Barèmes police</vt:lpstr>
      <vt:lpstr>Barèmes CALOG</vt:lpstr>
      <vt:lpstr>Barèmes Ex-Gd</vt:lpstr>
      <vt:lpstr>Systeemgegevens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Geets</dc:creator>
  <cp:lastModifiedBy>Joeri Franck</cp:lastModifiedBy>
  <cp:lastPrinted>2015-10-25T14:36:41Z</cp:lastPrinted>
  <dcterms:created xsi:type="dcterms:W3CDTF">2014-11-09T14:04:31Z</dcterms:created>
  <dcterms:modified xsi:type="dcterms:W3CDTF">2023-12-01T08:37:36Z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0x0101009CB1AD86E8B3014F8CE841E002B856B0</vt:lpwstr>
  </property>
</Properties>
</file>